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wJ+fvGNWe8eLu8Q5lMtqj7rBBEWYEz0OtCQCeyHSy1pF7F5CsgcaLp5u/MUG33BYGWgEb0IOBrF4J+dS/uj53g==" workbookSaltValue="iQ+YG51CYb1tZye75qTP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T13" i="12"/>
  <c r="BD18" i="13"/>
  <c r="BE17" i="13"/>
  <c r="BF17" i="13"/>
  <c r="AE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<sst xmlns="http://schemas.openxmlformats.org/spreadsheetml/2006/main" count="2527" uniqueCount="1026">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</sst>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EcTJ/70wW+TmgNAEG3FA0gPAfvfiVW7zzCuu13oEe9x0J6Z4NjMruiIc/UGUgKAlkSAZD4YMJDmWE+kwhANQ==" saltValue="L9siPv+x37wU+vZpcw1k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38.246022506790844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125</v>
      </c>
      <c r="D10" s="224">
        <f>IF(ISNUMBER(Datos!I10),Datos!I10," - ")</f>
        <v>125</v>
      </c>
      <c r="E10" s="225">
        <f>IF(ISNUMBER(Datos!J10),Datos!J10," - ")</f>
        <v>24</v>
      </c>
      <c r="F10" s="225">
        <f>IF(ISNUMBER(Datos!K10),Datos!K10," - ")</f>
        <v>39</v>
      </c>
      <c r="G10" s="1029" t="str">
        <f>IF(Datos!E10&lt;&gt;"",Datos!E10,Datos!D10)</f>
        <v>37</v>
      </c>
      <c r="H10" s="226">
        <f>IF(ISNUMBER(Datos!L10),Datos!L10," - ")</f>
        <v>110</v>
      </c>
      <c r="I10" s="1039" t="str">
        <f>IF(ISNUMBER(Datos!AS10/Datos!BM10),Datos!AS10/Datos!BM10," - ")</f>
        <v xml:space="preserve"> - </v>
      </c>
      <c r="J10" s="1040">
        <f>IF(ISNUMBER(Datos!BY10/Datos!CN10),Datos!BY10/Datos!CN10," - ")</f>
        <v>0</v>
      </c>
      <c r="K10" s="229">
        <f t="shared" ref="K10:K12" si="1">IF(ISNUMBER((E10-F10)/C10),(E10-F10)/C10," - ")</f>
        <v>-0.12</v>
      </c>
      <c r="L10" s="1020">
        <f>IF(ISNUMBER(NºAsuntos!I10/NºAsuntos!G10),(NºAsuntos!I10/NºAsuntos!G10)*11," - ")</f>
        <v>31.025641025641029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125</v>
      </c>
      <c r="D13" s="1044">
        <f>SUBTOTAL(9,D9:D12)</f>
        <v>125</v>
      </c>
      <c r="E13" s="1045">
        <f>SUBTOTAL(9,E9:E12)</f>
        <v>24</v>
      </c>
      <c r="F13" s="1046">
        <f>SUBTOTAL(9,F9:F12)</f>
        <v>39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2699</v>
      </c>
      <c r="D15" s="224">
        <f>IF(ISNUMBER(IF(D_I="SI",Datos!I15,Datos!I15+Datos!AC15)),IF(D_I="SI",Datos!I15,Datos!I15+Datos!AC15)," - ")</f>
        <v>2658</v>
      </c>
      <c r="E15" s="225">
        <f>IF(ISNUMBER(IF(D_I="SI",Datos!J15,Datos!J15+Datos!AD15)),IF(D_I="SI",Datos!J15,Datos!J15+Datos!AD15)," - ")</f>
        <v>2166</v>
      </c>
      <c r="F15" s="225">
        <f>IF(ISNUMBER(IF(D_I="SI",Datos!K15,Datos!K15+Datos!AE15)),IF(D_I="SI",Datos!K15,Datos!K15+Datos!AE15)," - ")</f>
        <v>1900</v>
      </c>
      <c r="G15" s="1029" t="str">
        <f>IF(Datos!E15&lt;&gt;"",Datos!E15,Datos!D15)</f>
        <v>03</v>
      </c>
      <c r="H15" s="226">
        <f>IF(ISNUMBER(IF(D_I="SI",Datos!L15,Datos!L15+Datos!AF15)),IF(D_I="SI",Datos!L15,Datos!L15+Datos!AF15)," - ")</f>
        <v>2965</v>
      </c>
      <c r="I15" s="1039" t="str">
        <f>IF(ISNUMBER(Datos!AS15/Datos!BM15),Datos!AS15/Datos!BM15," - ")</f>
        <v xml:space="preserve"> - </v>
      </c>
      <c r="J15" s="1040">
        <f>IF(ISNUMBER(Datos!BY15/Datos!CN15),Datos!BY15/Datos!CN15," - ")</f>
        <v>0</v>
      </c>
      <c r="K15" s="229">
        <f t="shared" ref="K15:K18" si="3">IF(ISNUMBER((E15-F15)/C15),(E15-F15)/C15," - ")</f>
        <v>9.8555020377917746E-2</v>
      </c>
      <c r="L15" s="1020">
        <f>IF(ISNUMBER(NºAsuntos!I15/NºAsuntos!G15),(NºAsuntos!I15/NºAsuntos!G15)*11," - ")</f>
        <v>17.16578947368421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126</v>
      </c>
      <c r="D18" s="224">
        <f>IF(ISNUMBER(IF(D_I="SI",Datos!I18,Datos!I18+Datos!AC18)),IF(D_I="SI",Datos!I18,Datos!I18+Datos!AC18)," - ")</f>
        <v>127</v>
      </c>
      <c r="E18" s="225">
        <f>IF(ISNUMBER(IF(D_I="SI",Datos!J18,Datos!J18+Datos!AD18)),IF(D_I="SI",Datos!J18,Datos!J18+Datos!AD18)," - ")</f>
        <v>293</v>
      </c>
      <c r="F18" s="225">
        <f>IF(ISNUMBER(IF(D_I="SI",Datos!K18,Datos!K18+Datos!AE18)),IF(D_I="SI",Datos!K18,Datos!K18+Datos!AE18)," - ")</f>
        <v>279</v>
      </c>
      <c r="G18" s="1029" t="str">
        <f>IF(Datos!E18&lt;&gt;"",Datos!E18,Datos!D18)</f>
        <v>37</v>
      </c>
      <c r="H18" s="226">
        <f>IF(ISNUMBER(IF(D_I="SI",Datos!L18,Datos!L18+Datos!AF18)),IF(D_I="SI",Datos!L18,Datos!L18+Datos!AF18)," - ")</f>
        <v>140</v>
      </c>
      <c r="I18" s="1039" t="str">
        <f>IF(ISNUMBER(Datos!AS18/Datos!BM18),Datos!AS18/Datos!BM18," - ")</f>
        <v xml:space="preserve"> - </v>
      </c>
      <c r="J18" s="1040" t="str">
        <f>IF(ISNUMBER((Datos!BY18+Datos!BZ18)/Datos!CN18),(Datos!BY18+Datos!BZ18)/Datos!CN18," - ")</f>
        <v xml:space="preserve"> - </v>
      </c>
      <c r="K18" s="229">
        <f t="shared" si="3"/>
        <v>0.1111111111111111</v>
      </c>
      <c r="L18" s="1020">
        <f>IF(ISNUMBER(NºAsuntos!I18/NºAsuntos!G18),(NºAsuntos!I18/NºAsuntos!G18)*11," - ")</f>
        <v>5.5197132616487448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2825</v>
      </c>
      <c r="D19" s="1044">
        <f>SUBTOTAL(9,D15:D18)</f>
        <v>2785</v>
      </c>
      <c r="E19" s="1045">
        <f>SUBTOTAL(9,E15:E18)</f>
        <v>2459</v>
      </c>
      <c r="F19" s="1045">
        <f>SUBTOTAL(9,F15:F18)</f>
        <v>2179</v>
      </c>
      <c r="G19" s="1047" t="str">
        <f ca="1">INDIRECT(CONCATENATE("G",ROW()-1))</f>
        <v>37</v>
      </c>
      <c r="H19" s="1048">
        <f ca="1">SUMIF(G$14:G18,G19,H$14:H18)</f>
        <v>140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2950</v>
      </c>
      <c r="D20" s="1066">
        <f>SUBTOTAL(9,D9:D19)</f>
        <v>2910</v>
      </c>
      <c r="E20" s="1067">
        <f>SUBTOTAL(9,E9:E19)</f>
        <v>2483</v>
      </c>
      <c r="F20" s="1067">
        <f>SUBTOTAL(9,F9:F19)</f>
        <v>2218</v>
      </c>
      <c r="G20" s="1068"/>
      <c r="H20" s="1069">
        <f ca="1">SUMIF(B9:B19,"TOTAL",H9:H19)</f>
        <v>140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1LQBzCMLNpWODtyyhAmLMEVtux0t32Yt426d5QkDIoDFAG7VIcDwE0HfXn4x485M8blUd6dKlK+tceQrwNEjg==" saltValue="AuwQFrVUmoeATEKPWdCZ8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HOk8lE7HtE5rzVeVuqZTssflvwjerM0kwOb9bSQCJ+VroerocKUOq3q9WySV3WzZUUNRG4S+W5BlfdBRDCg/Q==" saltValue="xJGp+4PpdvHugWkIrt1P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9015</v>
      </c>
      <c r="J9" s="180">
        <v>2231</v>
      </c>
      <c r="K9" s="180">
        <v>2441</v>
      </c>
      <c r="L9" s="180">
        <v>8797</v>
      </c>
      <c r="M9" s="180">
        <v>636</v>
      </c>
      <c r="N9" s="180">
        <v>986</v>
      </c>
      <c r="O9" s="180">
        <v>911</v>
      </c>
      <c r="P9" s="180">
        <v>834</v>
      </c>
      <c r="Q9" s="180">
        <v>395</v>
      </c>
      <c r="R9" s="180">
        <v>12822</v>
      </c>
      <c r="S9" s="180">
        <v>8121</v>
      </c>
      <c r="T9" s="180">
        <v>4160</v>
      </c>
      <c r="U9" s="180">
        <v>2608</v>
      </c>
      <c r="V9" s="180">
        <v>10261</v>
      </c>
      <c r="W9" s="180">
        <v>616</v>
      </c>
      <c r="X9" s="187">
        <v>1209</v>
      </c>
      <c r="Y9" s="190">
        <v>158</v>
      </c>
      <c r="Z9" s="180">
        <v>141</v>
      </c>
      <c r="AA9" s="180">
        <v>136</v>
      </c>
      <c r="AB9" s="180">
        <v>163</v>
      </c>
      <c r="AC9" s="180">
        <v>0</v>
      </c>
      <c r="AD9" s="180">
        <v>0</v>
      </c>
      <c r="AE9" s="180">
        <v>0</v>
      </c>
      <c r="AF9" s="187">
        <v>0</v>
      </c>
      <c r="AG9" s="190">
        <v>184</v>
      </c>
      <c r="AH9" s="180">
        <v>138</v>
      </c>
      <c r="AI9" s="180">
        <v>134</v>
      </c>
      <c r="AJ9" s="191">
        <v>202</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8305</v>
      </c>
      <c r="AZ9" s="123">
        <f>IF(ISNUMBER(IF(J_V="SI",T9,T9+AH9)),IF(J_V="SI",T9,T9+AH9)," - ")</f>
        <v>4298</v>
      </c>
      <c r="BA9" s="124">
        <f>IF(ISNUMBER(IF(J_V="SI",U9,U9+AI9)),IF(J_V="SI",U9,U9+AI9)," - ")</f>
        <v>2742</v>
      </c>
      <c r="BB9" s="124">
        <f>IF(ISNUMBER(IF(J_V="SI",V9,V9+AJ9)),IF(J_V="SI",V9,V9+AJ9)," - ")</f>
        <v>10463</v>
      </c>
      <c r="BC9" s="125">
        <f>IF(ISNUMBER(X9),X9," - ")</f>
        <v>1209</v>
      </c>
      <c r="BD9" s="126">
        <f>IF(ISNUMBER(BA9/AZ9),BA9/AZ9," - ")</f>
        <v>0.63797114937180088</v>
      </c>
      <c r="BE9" s="127">
        <f>IF(ISNUMBER(BB9/BA9),BB9/BA9, " - ")</f>
        <v>3.8158278628738147</v>
      </c>
      <c r="BF9" s="127">
        <f>IF(ISNUMBER(BC9/BA9),BC9/BA9, " - ")</f>
        <v>0.44091903719912473</v>
      </c>
      <c r="BG9" s="195">
        <f>IF(ISNUMBER((AY9+AZ9)/BA9),(AY9+AZ9)/BA9," - ")</f>
        <v>4.5962800875273526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125</v>
      </c>
      <c r="J10" s="180">
        <v>24</v>
      </c>
      <c r="K10" s="180">
        <v>39</v>
      </c>
      <c r="L10" s="180">
        <v>110</v>
      </c>
      <c r="M10" s="180">
        <v>25</v>
      </c>
      <c r="N10" s="180">
        <v>6</v>
      </c>
      <c r="O10" s="180">
        <v>16</v>
      </c>
      <c r="P10" s="180">
        <v>6</v>
      </c>
      <c r="Q10" s="180">
        <v>8</v>
      </c>
      <c r="R10" s="180">
        <v>75</v>
      </c>
      <c r="S10" s="180">
        <v>144</v>
      </c>
      <c r="T10" s="180">
        <v>31</v>
      </c>
      <c r="U10" s="180">
        <v>25</v>
      </c>
      <c r="V10" s="180">
        <v>150</v>
      </c>
      <c r="W10" s="180">
        <v>21</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144</v>
      </c>
      <c r="AZ10" s="129">
        <f t="shared" si="0"/>
        <v>31</v>
      </c>
      <c r="BA10" s="129">
        <f t="shared" si="0"/>
        <v>25</v>
      </c>
      <c r="BB10" s="129">
        <f t="shared" si="0"/>
        <v>150</v>
      </c>
      <c r="BC10" s="125">
        <f t="shared" si="0"/>
        <v>21</v>
      </c>
      <c r="BD10" s="126">
        <f>IF(ISNUMBER(BA10/AZ10),BA10/AZ10," - ")</f>
        <v>0.80645161290322576</v>
      </c>
      <c r="BE10" s="127">
        <f>IF(ISNUMBER(BB10/BA10),BB10/BA10, " - ")</f>
        <v>6</v>
      </c>
      <c r="BF10" s="127">
        <f>IF(ISNUMBER(BC10/BA10),BC10/BA10, " - ")</f>
        <v>0.84</v>
      </c>
      <c r="BG10" s="195">
        <f>IF(ISNUMBER((AY10+AZ10)/BA10),(AY10+AZ10)/BA10," - ")</f>
        <v>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9140</v>
      </c>
      <c r="J13" s="183">
        <f t="shared" si="6"/>
        <v>2255</v>
      </c>
      <c r="K13" s="183">
        <f t="shared" si="6"/>
        <v>2480</v>
      </c>
      <c r="L13" s="183">
        <f t="shared" si="6"/>
        <v>8907</v>
      </c>
      <c r="M13" s="183">
        <f t="shared" si="6"/>
        <v>661</v>
      </c>
      <c r="N13" s="183">
        <f t="shared" si="6"/>
        <v>992</v>
      </c>
      <c r="O13" s="183">
        <f t="shared" si="6"/>
        <v>927</v>
      </c>
      <c r="P13" s="183">
        <f t="shared" si="6"/>
        <v>840</v>
      </c>
      <c r="Q13" s="183">
        <f t="shared" si="6"/>
        <v>403</v>
      </c>
      <c r="R13" s="183">
        <f t="shared" si="6"/>
        <v>12897</v>
      </c>
      <c r="S13" s="183">
        <f t="shared" si="6"/>
        <v>8265</v>
      </c>
      <c r="T13" s="183">
        <f t="shared" si="6"/>
        <v>4191</v>
      </c>
      <c r="U13" s="183">
        <f t="shared" si="6"/>
        <v>2633</v>
      </c>
      <c r="V13" s="183">
        <f t="shared" si="6"/>
        <v>10411</v>
      </c>
      <c r="W13" s="183">
        <f t="shared" si="6"/>
        <v>637</v>
      </c>
      <c r="X13" s="183">
        <f t="shared" si="6"/>
        <v>1214</v>
      </c>
      <c r="Y13" s="183">
        <f t="shared" si="6"/>
        <v>158</v>
      </c>
      <c r="Z13" s="183">
        <f t="shared" si="6"/>
        <v>141</v>
      </c>
      <c r="AA13" s="183">
        <f t="shared" si="6"/>
        <v>136</v>
      </c>
      <c r="AB13" s="183">
        <f t="shared" si="6"/>
        <v>163</v>
      </c>
      <c r="AC13" s="183">
        <f t="shared" si="6"/>
        <v>0</v>
      </c>
      <c r="AD13" s="183">
        <f t="shared" si="6"/>
        <v>0</v>
      </c>
      <c r="AE13" s="183">
        <f t="shared" si="6"/>
        <v>0</v>
      </c>
      <c r="AF13" s="183">
        <f>SUBTOTAL(9,AF9:AF12)</f>
        <v>0</v>
      </c>
      <c r="AG13" s="183">
        <f t="shared" ref="AG13:AT13" si="7">SUBTOTAL(9,AG8:AG12)</f>
        <v>184</v>
      </c>
      <c r="AH13" s="183">
        <f t="shared" si="7"/>
        <v>138</v>
      </c>
      <c r="AI13" s="183">
        <f t="shared" si="7"/>
        <v>134</v>
      </c>
      <c r="AJ13" s="183">
        <f t="shared" si="7"/>
        <v>202</v>
      </c>
      <c r="AK13" s="183">
        <f t="shared" si="7"/>
        <v>0</v>
      </c>
      <c r="AL13" s="183">
        <f t="shared" si="7"/>
        <v>0</v>
      </c>
      <c r="AM13" s="183">
        <f t="shared" si="7"/>
        <v>0</v>
      </c>
      <c r="AN13" s="183">
        <f t="shared" si="7"/>
        <v>0</v>
      </c>
      <c r="AO13" s="183">
        <f t="shared" si="7"/>
        <v>6</v>
      </c>
      <c r="AP13" s="183">
        <f t="shared" si="7"/>
        <v>6</v>
      </c>
      <c r="AQ13" s="183">
        <f t="shared" si="7"/>
        <v>6</v>
      </c>
      <c r="AR13" s="183">
        <f t="shared" si="7"/>
        <v>6</v>
      </c>
      <c r="AS13" s="183">
        <f t="shared" si="7"/>
        <v>0</v>
      </c>
      <c r="AT13" s="183">
        <f t="shared" si="7"/>
        <v>0</v>
      </c>
      <c r="AU13" s="203"/>
      <c r="AV13" s="132"/>
      <c r="AW13" s="203"/>
      <c r="AX13" s="132"/>
      <c r="AY13" s="183">
        <f>SUBTOTAL(9,AY8:AY12)</f>
        <v>8449</v>
      </c>
      <c r="AZ13" s="183">
        <f>SUBTOTAL(9,AZ8:AZ12)</f>
        <v>4329</v>
      </c>
      <c r="BA13" s="183">
        <f>SUBTOTAL(9,BA8:BA12)</f>
        <v>2767</v>
      </c>
      <c r="BB13" s="183">
        <f>SUBTOTAL(9,BB8:BB12)</f>
        <v>10613</v>
      </c>
      <c r="BC13" s="183">
        <f>SUBTOTAL(9,BC8:BC12)</f>
        <v>1230</v>
      </c>
      <c r="BD13" s="204">
        <f>IF(ISNUMBER(BA13/AZ13),BA13/AZ13," - ")</f>
        <v>0.63917763917763915</v>
      </c>
      <c r="BE13" s="205">
        <f>IF(ISNUMBER(BB13/BA13),BB13/BA13, " - ")</f>
        <v>3.8355619804842789</v>
      </c>
      <c r="BF13" s="205">
        <f>IF(ISNUMBER(BC13/BA13),BC13/BA13, " - ")</f>
        <v>0.44452475605348751</v>
      </c>
      <c r="BG13" s="206">
        <f>IF(ISNUMBER((AY13+AZ13)/BA13),(AY13+AZ13)/BA13," - ")</f>
        <v>4.617997831586556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2658</v>
      </c>
      <c r="J15" s="182">
        <v>2166</v>
      </c>
      <c r="K15" s="182">
        <v>1900</v>
      </c>
      <c r="L15" s="182">
        <v>2965</v>
      </c>
      <c r="M15" s="182">
        <v>339</v>
      </c>
      <c r="N15" s="182">
        <v>970</v>
      </c>
      <c r="O15" s="180">
        <v>9</v>
      </c>
      <c r="P15" s="182">
        <v>60</v>
      </c>
      <c r="Q15" s="182">
        <v>25</v>
      </c>
      <c r="R15" s="182">
        <v>425</v>
      </c>
      <c r="S15" s="182">
        <v>2016</v>
      </c>
      <c r="T15" s="182">
        <v>2511</v>
      </c>
      <c r="U15" s="182">
        <v>2285</v>
      </c>
      <c r="V15" s="182">
        <v>2333</v>
      </c>
      <c r="W15" s="182">
        <v>386</v>
      </c>
      <c r="X15" s="188">
        <v>1260</v>
      </c>
      <c r="Y15" s="201">
        <v>0</v>
      </c>
      <c r="Z15" s="182">
        <v>0</v>
      </c>
      <c r="AA15" s="182">
        <v>0</v>
      </c>
      <c r="AB15" s="182">
        <v>0</v>
      </c>
      <c r="AC15" s="182">
        <v>0</v>
      </c>
      <c r="AD15" s="182">
        <v>1</v>
      </c>
      <c r="AE15" s="182">
        <v>1</v>
      </c>
      <c r="AF15" s="188">
        <v>0</v>
      </c>
      <c r="AG15" s="201">
        <v>0</v>
      </c>
      <c r="AH15" s="182">
        <v>0</v>
      </c>
      <c r="AI15" s="182">
        <v>0</v>
      </c>
      <c r="AJ15" s="202">
        <v>0</v>
      </c>
      <c r="AK15" s="181">
        <v>0</v>
      </c>
      <c r="AL15" s="182">
        <v>1</v>
      </c>
      <c r="AM15" s="182">
        <v>1</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2016</v>
      </c>
      <c r="AZ15" s="129">
        <f t="shared" si="9"/>
        <v>2511</v>
      </c>
      <c r="BA15" s="129">
        <f t="shared" si="9"/>
        <v>2285</v>
      </c>
      <c r="BB15" s="129">
        <f t="shared" si="9"/>
        <v>2333</v>
      </c>
      <c r="BC15" s="125">
        <f>IF(ISNUMBER(W15),W15," - ")</f>
        <v>386</v>
      </c>
      <c r="BD15" s="126">
        <f>IF(ISNUMBER(BA15/AZ15),BA15/AZ15," - ")</f>
        <v>0.90999601752289927</v>
      </c>
      <c r="BE15" s="127">
        <f>IF(ISNUMBER(BB15/BA15),BB15/BA15, " - ")</f>
        <v>1.0210065645514224</v>
      </c>
      <c r="BF15" s="127">
        <f>IF(ISNUMBER(BC15/BA15),BC15/BA15, " - ")</f>
        <v>0.16892778993435448</v>
      </c>
      <c r="BG15" s="195">
        <f t="shared" ref="BG15:BG17" si="10">IF(ISNUMBER((AY15+AZ15)/BA15),(AY15+AZ15)/BA15," - ")</f>
        <v>1.9811816192560174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127</v>
      </c>
      <c r="J18" s="182">
        <v>293</v>
      </c>
      <c r="K18" s="182">
        <v>279</v>
      </c>
      <c r="L18" s="182">
        <v>140</v>
      </c>
      <c r="M18" s="182">
        <v>48</v>
      </c>
      <c r="N18" s="182">
        <v>209</v>
      </c>
      <c r="O18" s="182">
        <v>2</v>
      </c>
      <c r="P18" s="182">
        <v>7</v>
      </c>
      <c r="Q18" s="182">
        <v>16</v>
      </c>
      <c r="R18" s="182">
        <v>26</v>
      </c>
      <c r="S18" s="182">
        <v>151</v>
      </c>
      <c r="T18" s="182">
        <v>200</v>
      </c>
      <c r="U18" s="182">
        <v>291</v>
      </c>
      <c r="V18" s="182">
        <v>60</v>
      </c>
      <c r="W18" s="182">
        <v>81</v>
      </c>
      <c r="X18" s="188">
        <v>209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151</v>
      </c>
      <c r="AZ18" s="129">
        <f t="shared" si="19"/>
        <v>200</v>
      </c>
      <c r="BA18" s="129">
        <f t="shared" si="19"/>
        <v>291</v>
      </c>
      <c r="BB18" s="129">
        <f t="shared" si="19"/>
        <v>60</v>
      </c>
      <c r="BC18" s="125">
        <f>IF(ISNUMBER(W18),W18," - ")</f>
        <v>81</v>
      </c>
      <c r="BD18" s="126">
        <f>IF(ISNUMBER(BA18/AZ18),BA18/AZ18," - ")</f>
        <v>1.4550000000000001</v>
      </c>
      <c r="BE18" s="127">
        <f>IF(ISNUMBER(BB18/BA18),BB18/BA18, " - ")</f>
        <v>0.20618556701030927</v>
      </c>
      <c r="BF18" s="127">
        <f>IF(ISNUMBER(BC18/BA18),BC18/BA18, " - ")</f>
        <v>0.27835051546391754</v>
      </c>
      <c r="BG18" s="195">
        <f>IF(ISNUMBER((AY18+AZ18)/BA18),(AY18+AZ18)/BA18," - ")</f>
        <v>1.2061855670103092</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2785</v>
      </c>
      <c r="J19" s="183">
        <f t="shared" si="20"/>
        <v>2459</v>
      </c>
      <c r="K19" s="183">
        <f t="shared" si="20"/>
        <v>2179</v>
      </c>
      <c r="L19" s="183">
        <f t="shared" si="20"/>
        <v>3105</v>
      </c>
      <c r="M19" s="183">
        <f t="shared" si="20"/>
        <v>387</v>
      </c>
      <c r="N19" s="183">
        <f t="shared" si="20"/>
        <v>1179</v>
      </c>
      <c r="O19" s="183">
        <f t="shared" si="20"/>
        <v>11</v>
      </c>
      <c r="P19" s="183">
        <f t="shared" si="20"/>
        <v>67</v>
      </c>
      <c r="Q19" s="183">
        <f t="shared" si="20"/>
        <v>41</v>
      </c>
      <c r="R19" s="183">
        <f t="shared" si="20"/>
        <v>451</v>
      </c>
      <c r="S19" s="183">
        <f t="shared" si="20"/>
        <v>2167</v>
      </c>
      <c r="T19" s="183">
        <f t="shared" si="20"/>
        <v>2711</v>
      </c>
      <c r="U19" s="183">
        <f t="shared" si="20"/>
        <v>2576</v>
      </c>
      <c r="V19" s="183">
        <f t="shared" si="20"/>
        <v>2393</v>
      </c>
      <c r="W19" s="183">
        <f t="shared" si="20"/>
        <v>467</v>
      </c>
      <c r="X19" s="183">
        <f t="shared" si="20"/>
        <v>1469</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2167</v>
      </c>
      <c r="AZ19" s="183">
        <f>SUBTOTAL(9,AZ14:AZ18)</f>
        <v>2711</v>
      </c>
      <c r="BA19" s="183">
        <f>SUBTOTAL(9,BA14:BA18)</f>
        <v>2576</v>
      </c>
      <c r="BB19" s="183">
        <f>SUBTOTAL(9,BB14:BB18)</f>
        <v>2393</v>
      </c>
      <c r="BC19" s="183">
        <f>SUBTOTAL(9,BC14:BC18)</f>
        <v>467</v>
      </c>
      <c r="BD19" s="204">
        <f>IF(ISNUMBER(BA19/AZ19),BA19/AZ19," - ")</f>
        <v>0.95020287716709706</v>
      </c>
      <c r="BE19" s="205">
        <f>IF(ISNUMBER(BB19/BA19),BB19/BA19, " - ")</f>
        <v>0.92895962732919257</v>
      </c>
      <c r="BF19" s="205">
        <f>IF(ISNUMBER(BC19/BA19),BC19/BA19, " - ")</f>
        <v>0.18128881987577639</v>
      </c>
      <c r="BG19" s="206">
        <f>IF(ISNUMBER((AY19+AZ19)/BA19),(AY19+AZ19)/BA19," - ")</f>
        <v>1.8936335403726707</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11925</v>
      </c>
      <c r="J20" s="134">
        <f t="shared" si="23"/>
        <v>4714</v>
      </c>
      <c r="K20" s="134">
        <f t="shared" si="23"/>
        <v>4659</v>
      </c>
      <c r="L20" s="134">
        <f t="shared" si="23"/>
        <v>12012</v>
      </c>
      <c r="M20" s="134">
        <f t="shared" si="23"/>
        <v>1048</v>
      </c>
      <c r="N20" s="134">
        <f t="shared" si="23"/>
        <v>2171</v>
      </c>
      <c r="O20" s="134">
        <f t="shared" si="23"/>
        <v>938</v>
      </c>
      <c r="P20" s="134">
        <f t="shared" si="23"/>
        <v>907</v>
      </c>
      <c r="Q20" s="134">
        <f t="shared" si="23"/>
        <v>444</v>
      </c>
      <c r="R20" s="134">
        <f t="shared" si="23"/>
        <v>13348</v>
      </c>
      <c r="S20" s="134">
        <f t="shared" si="23"/>
        <v>10432</v>
      </c>
      <c r="T20" s="134">
        <f t="shared" si="23"/>
        <v>6902</v>
      </c>
      <c r="U20" s="134">
        <f t="shared" si="23"/>
        <v>5209</v>
      </c>
      <c r="V20" s="134">
        <f t="shared" si="23"/>
        <v>12804</v>
      </c>
      <c r="W20" s="134">
        <f t="shared" si="23"/>
        <v>1104</v>
      </c>
      <c r="X20" s="134">
        <f t="shared" si="23"/>
        <v>2683</v>
      </c>
      <c r="Y20" s="134">
        <f t="shared" si="23"/>
        <v>158</v>
      </c>
      <c r="Z20" s="134">
        <f t="shared" si="23"/>
        <v>141</v>
      </c>
      <c r="AA20" s="134">
        <f t="shared" si="23"/>
        <v>136</v>
      </c>
      <c r="AB20" s="134">
        <f t="shared" si="23"/>
        <v>163</v>
      </c>
      <c r="AC20" s="134">
        <f t="shared" si="23"/>
        <v>0</v>
      </c>
      <c r="AD20" s="134">
        <f t="shared" si="23"/>
        <v>1</v>
      </c>
      <c r="AE20" s="134">
        <f t="shared" si="23"/>
        <v>1</v>
      </c>
      <c r="AF20" s="134">
        <f t="shared" si="23"/>
        <v>0</v>
      </c>
      <c r="AG20" s="134">
        <f t="shared" si="23"/>
        <v>184</v>
      </c>
      <c r="AH20" s="134">
        <f t="shared" si="23"/>
        <v>138</v>
      </c>
      <c r="AI20" s="134">
        <f t="shared" si="23"/>
        <v>134</v>
      </c>
      <c r="AJ20" s="134">
        <f t="shared" si="23"/>
        <v>202</v>
      </c>
      <c r="AK20" s="134">
        <f t="shared" si="23"/>
        <v>0</v>
      </c>
      <c r="AL20" s="134">
        <f t="shared" si="23"/>
        <v>1</v>
      </c>
      <c r="AM20" s="134">
        <f t="shared" si="23"/>
        <v>1</v>
      </c>
      <c r="AN20" s="209">
        <f t="shared" si="23"/>
        <v>0</v>
      </c>
      <c r="AO20" s="210">
        <v>10</v>
      </c>
      <c r="AP20" s="210">
        <v>10</v>
      </c>
      <c r="AQ20" s="210">
        <v>10</v>
      </c>
      <c r="AR20" s="210">
        <v>10</v>
      </c>
      <c r="AS20" s="152">
        <f t="shared" si="23"/>
        <v>0</v>
      </c>
      <c r="AT20" s="152">
        <f t="shared" si="23"/>
        <v>0</v>
      </c>
      <c r="AU20" s="210"/>
      <c r="AV20" s="211"/>
      <c r="AW20" s="210"/>
      <c r="AX20" s="211"/>
      <c r="AY20" s="133">
        <f>SUBTOTAL(9,AY9:AY19)</f>
        <v>10616</v>
      </c>
      <c r="AZ20" s="134">
        <f>SUBTOTAL(9,AZ9:AZ19)</f>
        <v>7040</v>
      </c>
      <c r="BA20" s="134">
        <f>SUBTOTAL(9,BA9:BA19)</f>
        <v>5343</v>
      </c>
      <c r="BB20" s="134">
        <f>SUBTOTAL(9,BB9:BB19)</f>
        <v>13006</v>
      </c>
      <c r="BC20" s="135">
        <f>SUBTOTAL(9,BC9:BC19)</f>
        <v>1697</v>
      </c>
      <c r="BD20" s="212">
        <f>IF(ISNUMBER(BA20/AZ20),BA20/AZ20," - ")</f>
        <v>0.7589488636363636</v>
      </c>
      <c r="BE20" s="209">
        <f>IF(ISNUMBER(BB20/BA20),BB20/BA20, " - ")</f>
        <v>2.4342129889575146</v>
      </c>
      <c r="BF20" s="209">
        <f>IF(ISNUMBER(BC20/BA20),BC20/BA20, " - ")</f>
        <v>0.31761182856073367</v>
      </c>
      <c r="BG20" s="135">
        <f>IF(ISNUMBER((AY20+AZ20)/BA20),(AY20+AZ20)/BA20," - ")</f>
        <v>3.3045105745835675</v>
      </c>
      <c r="BH20" s="210">
        <f>SUBTOTAL(9,BH9:BH19)</f>
        <v>13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1r6YJehHXu3OtBgXkwyb82RGbcG2BzICf2OkB1zUYzJN0F6huFWwxjonj2+CoyqSadIUiwfap4IhwvPyKasYg==" saltValue="vF38sApcl56zvqcLS1fv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lZVgLEb8TCb5dMbvJFiNb870RvKIqOaVNN/2PCWV+CNuvR4FFfYRu5EI4Yq0CXUxFiAAVTQbIpfeCOqWHOloQ==" saltValue="tZoilxNPDQIIoWJkBwIh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TORREVIEJA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141</v>
      </c>
      <c r="O9" s="1247"/>
      <c r="P9" s="1247"/>
      <c r="Q9" s="1215">
        <f>IF(ISNUMBER(Datos!P9),Datos!P9,0)</f>
        <v>834</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395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163</v>
      </c>
      <c r="AI9" s="1247" t="str">
        <f>IF(ISNUMBER(Datos!CD9),Datos!CD9,"-")</f>
        <v>-</v>
      </c>
      <c r="AJ9" s="1247" t="str">
        <f>IF(ISNUMBER(Datos!EN9),Datos!EN9," - ")</f>
        <v xml:space="preserve"> - </v>
      </c>
      <c r="AK9" s="1247"/>
      <c r="AL9" s="1258"/>
      <c r="AM9" s="1248">
        <f>IF(ISNUMBER(Datos!R9),Datos!R9," - ")</f>
        <v>12822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636</v>
      </c>
      <c r="BD9" s="1218">
        <f>IF(ISNUMBER(Datos!N9),Datos!N9," - ")</f>
        <v>986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1.086424957841484</v>
      </c>
      <c r="BH9" s="1226">
        <f>IF(ISNUMBER(((IF(J_V="SI",Datos!L9/Datos!K9,(Datos!L9+Datos!AB9)/(Datos!K9+Datos!AA9)))*11)/factor_trimestre),((IF(J_V="SI",Datos!L9/Datos!K9,(Datos!L9+Datos!AB9)/(Datos!K9+Datos!AA9)))*11)/factor_trimestre," - ")</f>
        <v>10.430733410942958</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3.5451829120568525E-2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125</v>
      </c>
      <c r="G10" s="1246">
        <f>IF(ISNUMBER(Datos!I10),Datos!I10," - ")</f>
        <v>125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39</v>
      </c>
      <c r="AC10" s="1215">
        <f>IF(ISNUMBER(Datos!Q10),Datos!Q10," - ")</f>
        <v>8</v>
      </c>
      <c r="AD10" s="1247"/>
      <c r="AE10" s="1262"/>
      <c r="AF10" s="1245">
        <f>IF(ISNUMBER(Datos!L10),Datos!L10,"-")</f>
        <v>110</v>
      </c>
      <c r="AG10" s="1247"/>
      <c r="AH10" s="1247"/>
      <c r="AI10" s="1247"/>
      <c r="AJ10" s="1247"/>
      <c r="AK10" s="1247"/>
      <c r="AL10" s="1258"/>
      <c r="AM10" s="1248">
        <f>IF(ISNUMBER(Datos!R10),Datos!R10," - ")</f>
        <v>75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25</v>
      </c>
      <c r="BD10" s="1218">
        <f>IF(ISNUMBER(Datos!N10),Datos!N10," - ")</f>
        <v>6</v>
      </c>
      <c r="BE10" s="1218" t="str">
        <f>IF(ISNUMBER(Datos!BW10),Datos!BW10," - ")</f>
        <v xml:space="preserve"> - </v>
      </c>
      <c r="BF10" s="1217" t="str">
        <f>IF(ISNUMBER(Datos!BX10),Datos!BX10," - ")</f>
        <v xml:space="preserve"> - </v>
      </c>
      <c r="BG10" s="1223">
        <f>IF(ISNUMBER(Datos!K10/Datos!J10),Datos!K10/Datos!J10," - ")</f>
        <v>1.625</v>
      </c>
      <c r="BH10" s="1226">
        <f>IF(ISNUMBER(((Datos!L10/Datos!K10)*11)/factor_trimestre),((Datos!L10/Datos!K10)*11)/factor_trimestre," - ")</f>
        <v>8.4615384615384635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-2.5974025974025976E-2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125</v>
      </c>
      <c r="G13" s="1391">
        <f t="shared" si="0"/>
        <v>125</v>
      </c>
      <c r="H13" s="1392">
        <f t="shared" si="0"/>
        <v>0</v>
      </c>
      <c r="I13" s="1391">
        <f t="shared" si="0"/>
        <v>0</v>
      </c>
      <c r="J13" s="1383">
        <f t="shared" si="0"/>
        <v>0</v>
      </c>
      <c r="K13" s="1383">
        <f t="shared" si="0"/>
        <v>0</v>
      </c>
      <c r="L13" s="1392">
        <f t="shared" si="0"/>
        <v>0</v>
      </c>
      <c r="M13" s="1392">
        <f t="shared" si="0"/>
        <v>0</v>
      </c>
      <c r="N13" s="1392">
        <f t="shared" si="0"/>
        <v>141</v>
      </c>
      <c r="O13" s="1393">
        <f t="shared" si="0"/>
        <v>0</v>
      </c>
      <c r="P13" s="1393">
        <f t="shared" si="0"/>
        <v>0</v>
      </c>
      <c r="Q13" s="1392">
        <f t="shared" si="0"/>
        <v>840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39</v>
      </c>
      <c r="AC13" s="1392">
        <f t="shared" si="1"/>
        <v>403</v>
      </c>
      <c r="AD13" s="1392">
        <f t="shared" si="1"/>
        <v>0</v>
      </c>
      <c r="AE13" s="1392">
        <f t="shared" si="1"/>
        <v>0</v>
      </c>
      <c r="AF13" s="1392">
        <f t="shared" si="1"/>
        <v>110</v>
      </c>
      <c r="AG13" s="1392">
        <f t="shared" si="1"/>
        <v>0</v>
      </c>
      <c r="AH13" s="1392">
        <f t="shared" si="1"/>
        <v>163</v>
      </c>
      <c r="AI13" s="1392">
        <f t="shared" si="1"/>
        <v>0</v>
      </c>
      <c r="AJ13" s="1392">
        <f t="shared" si="1"/>
        <v>0</v>
      </c>
      <c r="AK13" s="1392">
        <f t="shared" si="1"/>
        <v>0</v>
      </c>
      <c r="AL13" s="1392">
        <f t="shared" si="1"/>
        <v>0</v>
      </c>
      <c r="AM13" s="1392">
        <f t="shared" si="1"/>
        <v>12897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661</v>
      </c>
      <c r="BD13" s="1392">
        <f t="shared" si="1"/>
        <v>992</v>
      </c>
      <c r="BE13" s="1392">
        <f t="shared" si="1"/>
        <v>0</v>
      </c>
      <c r="BF13" s="1392">
        <f t="shared" si="1"/>
        <v>0</v>
      </c>
      <c r="BG13" s="1392">
        <f>IF(ISNUMBER(Datos!K13/Datos!J13),Datos!K13/Datos!J13," - ")</f>
        <v>1.0997782705099779</v>
      </c>
      <c r="BH13" s="1396">
        <f>IF(ISNUMBER(((Datos!L13/Datos!K13)*11)/factor_trimestre),((Datos!L13/Datos!K13)*11)/factor_trimestre," - ")</f>
        <v>10.774596774193549</v>
      </c>
      <c r="BI13" s="1392">
        <f>IF(ISNUMBER('Resol  Asuntos'!D13/NºAsuntos!G13),'Resol  Asuntos'!D13/NºAsuntos!G13," - ")</f>
        <v>0.25267584097859325</v>
      </c>
      <c r="BJ13" s="1392" t="str">
        <f>IF(ISNUMBER(Datos!CI13/Datos!CJ13),Datos!CI13/Datos!CJ13," - ")</f>
        <v xml:space="preserve"> - </v>
      </c>
      <c r="BK13" s="1392">
        <f>SUBTOTAL(9,BK8:BK12)</f>
        <v>0</v>
      </c>
      <c r="BL13" s="1392">
        <f>IF(ISNUMBER((I13-AB13+L13)/(F13)),(I13-AB13+L13)/(F13)," - ")</f>
        <v>-0.312</v>
      </c>
      <c r="BM13" s="1397">
        <f>SUBTOTAL(9,BM9:BM12)</f>
        <v>9.4778031465425489E-3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2699</v>
      </c>
      <c r="G15" s="1335">
        <f>IF(ISNUMBER(IF(D_I="SI",Datos!I15,Datos!I15+Datos!AC15)),IF(D_I="SI",Datos!I15,Datos!I15+Datos!AC15)," - ")</f>
        <v>2658</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1900</v>
      </c>
      <c r="AC15" s="1215">
        <f>IF(ISNUMBER(Datos!Q15),Datos!Q15," - ")</f>
        <v>25</v>
      </c>
      <c r="AD15" s="1247"/>
      <c r="AE15" s="1262"/>
      <c r="AF15" s="1333">
        <f>IF(ISNUMBER(IF(D_I="SI",Datos!L15,Datos!L15+Datos!AF15)),IF(D_I="SI",Datos!L15,Datos!L15+Datos!AF15)," - ")</f>
        <v>2965</v>
      </c>
      <c r="AG15" s="1247"/>
      <c r="AH15" s="1247"/>
      <c r="AI15" s="1247"/>
      <c r="AJ15" s="1247"/>
      <c r="AK15" s="1247"/>
      <c r="AL15" s="1258"/>
      <c r="AM15" s="1248">
        <f>IF(ISNUMBER(Datos!R15),Datos!R15," - ")</f>
        <v>425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339</v>
      </c>
      <c r="BD15" s="1218">
        <f>IF(ISNUMBER(Datos!N15),Datos!N15," - ")</f>
        <v>970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0.8771929824561403</v>
      </c>
      <c r="BH15" s="1226">
        <f>IF(ISNUMBER(((IF(D_I="SI",Datos!L15/Datos!K15,(Datos!L15+Datos!AF15)/(Datos!K15+Datos!AE15)))*11)/factor_trimestre),((IF(D_I="SI",Datos!L15/Datos!K15,(Datos!L15+Datos!AF15)/(Datos!K15+Datos!AE15)))*11)/factor_trimestre," - ")</f>
        <v>4.6815789473684211</v>
      </c>
      <c r="BI15" s="1223">
        <f>IF(ISNUMBER('Resol  Asuntos'!D15/NºAsuntos!G15),'Resol  Asuntos'!D15/NºAsuntos!G15," - ")</f>
        <v>0.17842105263157895</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7</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279</v>
      </c>
      <c r="AC18" s="1215">
        <f>IF(ISNUMBER(Datos!Q18),Datos!Q18," - ")</f>
        <v>16</v>
      </c>
      <c r="AD18" s="1247"/>
      <c r="AE18" s="1262"/>
      <c r="AF18" s="1245">
        <f>IF(ISNUMBER(Datos!L18),Datos!L18,"-")</f>
        <v>140</v>
      </c>
      <c r="AG18" s="1247"/>
      <c r="AH18" s="1247"/>
      <c r="AI18" s="1247"/>
      <c r="AJ18" s="1247"/>
      <c r="AK18" s="1247"/>
      <c r="AL18" s="1258"/>
      <c r="AM18" s="1248">
        <f>IF(ISNUMBER(Datos!R18),Datos!R18," - ")</f>
        <v>26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48</v>
      </c>
      <c r="BD18" s="1218">
        <f>IF(ISNUMBER(Datos!N18),Datos!N18," - ")</f>
        <v>209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0.95221843003412965</v>
      </c>
      <c r="BH18" s="1226">
        <f>IF(ISNUMBER(((IF(D_I="SI",Datos!L18/Datos!K18,(Datos!L18+Datos!AF18)/(Datos!K18+Datos!AE18)))*11)/factor_trimestre),((IF(D_I="SI",Datos!L18/Datos!K18,(Datos!L18+Datos!AF18)/(Datos!K18+Datos!AE18)))*11)/factor_trimestre," - ")</f>
        <v>1.5053763440860213</v>
      </c>
      <c r="BI18" s="1223">
        <f>IF(ISNUMBER('Resol  Asuntos'!D18/NºAsuntos!G18),'Resol  Asuntos'!D18/NºAsuntos!G18," - ")</f>
        <v>0.17204301075268819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2699</v>
      </c>
      <c r="G19" s="1391">
        <f>SUBTOTAL(9,G15:G18)</f>
        <v>2785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2179</v>
      </c>
      <c r="AC19" s="1392">
        <f t="shared" si="4"/>
        <v>41</v>
      </c>
      <c r="AD19" s="1392">
        <f t="shared" si="4"/>
        <v>0</v>
      </c>
      <c r="AE19" s="1392">
        <f t="shared" si="4"/>
        <v>0</v>
      </c>
      <c r="AF19" s="1392">
        <f t="shared" si="4"/>
        <v>3105</v>
      </c>
      <c r="AG19" s="1392">
        <f t="shared" si="4"/>
        <v>0</v>
      </c>
      <c r="AH19" s="1392">
        <f t="shared" si="4"/>
        <v>0</v>
      </c>
      <c r="AI19" s="1392">
        <f t="shared" si="4"/>
        <v>0</v>
      </c>
      <c r="AJ19" s="1392">
        <f t="shared" si="4"/>
        <v>0</v>
      </c>
      <c r="AK19" s="1392">
        <f t="shared" si="4"/>
        <v>0</v>
      </c>
      <c r="AL19" s="1392">
        <f t="shared" si="4"/>
        <v>0</v>
      </c>
      <c r="AM19" s="1392">
        <f t="shared" si="4"/>
        <v>451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387</v>
      </c>
      <c r="BD19" s="1392">
        <f t="shared" si="4"/>
        <v>1179</v>
      </c>
      <c r="BE19" s="1392">
        <f t="shared" si="4"/>
        <v>0</v>
      </c>
      <c r="BF19" s="1392">
        <f t="shared" si="4"/>
        <v>0</v>
      </c>
      <c r="BG19" s="1392">
        <f>IF(ISNUMBER(Datos!K19/Datos!J19),Datos!K19/Datos!J19," - ")</f>
        <v>0.88613257421716141</v>
      </c>
      <c r="BH19" s="1396">
        <f>IF(ISNUMBER(((Datos!L19/Datos!K19)*11)/factor_trimestre),((Datos!L19/Datos!K19)*11)/factor_trimestre," - ")</f>
        <v>4.2748967416245991</v>
      </c>
      <c r="BI19" s="1392">
        <f>SUBTOTAL(9,BI15:BI18)</f>
        <v>0.35046406338426717</v>
      </c>
      <c r="BJ19" s="1392">
        <f>SUBTOTAL(9,BJ15:BJ18)</f>
        <v>0</v>
      </c>
      <c r="BK19" s="1392">
        <f>SUBTOTAL(9,BK15:BK18)</f>
        <v>0</v>
      </c>
      <c r="BL19" s="1392">
        <f>IF(ISNUMBER((I19-AB19+L19)/(F19)),(I19-AB19+L19)/(F19)," - ")</f>
        <v>-0.807336050389033</v>
      </c>
      <c r="BM19" s="1398">
        <f>IF(ISNUMBER((Datos!P19-Datos!Q19)/(Datos!R19-Datos!P19+Datos!Q19)),(Datos!P19-Datos!Q19)/(Datos!R19-Datos!P19+Datos!Q19)," - ")</f>
        <v>6.1176470588235297E-2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11</v>
      </c>
      <c r="F20" s="1367">
        <f t="shared" si="6"/>
        <v>2824</v>
      </c>
      <c r="G20" s="1367">
        <f t="shared" si="6"/>
        <v>2910</v>
      </c>
      <c r="H20" s="1369">
        <f t="shared" si="6"/>
        <v>0</v>
      </c>
      <c r="I20" s="1367">
        <f t="shared" si="6"/>
        <v>0</v>
      </c>
      <c r="J20" s="1369">
        <f t="shared" si="6"/>
        <v>0</v>
      </c>
      <c r="K20" s="1369">
        <f t="shared" si="6"/>
        <v>0</v>
      </c>
      <c r="L20" s="1386">
        <f t="shared" si="6"/>
        <v>0</v>
      </c>
      <c r="M20" s="1386">
        <f t="shared" si="6"/>
        <v>0</v>
      </c>
      <c r="N20" s="1386">
        <f t="shared" si="6"/>
        <v>141</v>
      </c>
      <c r="O20" s="1386">
        <f t="shared" si="6"/>
        <v>0</v>
      </c>
      <c r="P20" s="1386">
        <f t="shared" si="6"/>
        <v>0</v>
      </c>
      <c r="Q20" s="1369">
        <f t="shared" si="6"/>
        <v>907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2218</v>
      </c>
      <c r="AC20" s="1368">
        <f t="shared" si="7"/>
        <v>444</v>
      </c>
      <c r="AD20" s="1368">
        <f t="shared" si="7"/>
        <v>0</v>
      </c>
      <c r="AE20" s="1368">
        <f t="shared" si="7"/>
        <v>0</v>
      </c>
      <c r="AF20" s="1371">
        <f t="shared" si="7"/>
        <v>3215</v>
      </c>
      <c r="AG20" s="1371">
        <f t="shared" si="7"/>
        <v>0</v>
      </c>
      <c r="AH20" s="1371">
        <f t="shared" si="7"/>
        <v>163</v>
      </c>
      <c r="AI20" s="1371">
        <f t="shared" si="7"/>
        <v>0</v>
      </c>
      <c r="AJ20" s="1368">
        <f t="shared" si="7"/>
        <v>0</v>
      </c>
      <c r="AK20" s="1371">
        <f t="shared" si="7"/>
        <v>0</v>
      </c>
      <c r="AL20" s="1371">
        <f t="shared" si="7"/>
        <v>0</v>
      </c>
      <c r="AM20" s="1371">
        <f t="shared" si="7"/>
        <v>13348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1048</v>
      </c>
      <c r="BD20" s="1367">
        <f t="shared" si="7"/>
        <v>2171</v>
      </c>
      <c r="BE20" s="1367">
        <f t="shared" si="7"/>
        <v>0</v>
      </c>
      <c r="BF20" s="1373">
        <f t="shared" si="7"/>
        <v>0</v>
      </c>
      <c r="BG20" s="1404">
        <f>IF(ISNUMBER(Datos!K20/Datos!J20),Datos!K20/Datos!J20," - ")</f>
        <v>0.98833262621977092</v>
      </c>
      <c r="BH20" s="1404">
        <f>IF(ISNUMBER(((Datos!L20/Datos!K20)*11)/factor_trimestre),((Datos!L20/Datos!K20)*11)/factor_trimestre," - ")</f>
        <v>7.7347070186735349</v>
      </c>
      <c r="BI20" s="1362">
        <f>IF(ISNUMBER(Datos!J20/Datos!I20),Datos!J20/Datos!I20," - ")</f>
        <v>0.39530398322851151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-0.78541076487252126</v>
      </c>
      <c r="BM20" s="1387">
        <f>IF(ISNUMBER((Datos!P20-Datos!Q20+R20)/(Datos!R20-Datos!P20+Datos!Q20-R20)),(Datos!P20-Datos!Q20+R20)/(Datos!R20-Datos!P20+Datos!Q20-R20)," - ")</f>
        <v>3.5933255723709742E-2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2.485513584307633</v>
      </c>
      <c r="F22" s="1298">
        <f>IF(ISNUMBER(STDEV(F8:F19)),STDEV(F8:F19),"-")</f>
        <v>1486.0995928940968</v>
      </c>
      <c r="G22" s="1299">
        <f>IF(ISNUMBER(STDEV(G8:G19)),STDEV(G8:G19),"-")</f>
        <v>1422.5055360173471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1061.0495747136417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274.52990122510641</v>
      </c>
      <c r="BD22" s="1298"/>
      <c r="BE22" s="1298">
        <f>IF(ISNUMBER(STDEV(BE8:BE19)),STDEV(BE8:BE19),"-")</f>
        <v>0</v>
      </c>
      <c r="BF22" s="1303">
        <f>IF(ISNUMBER(STDEV(BF8:BF19)),STDEV(BF8:BF19),"-")</f>
        <v>0</v>
      </c>
      <c r="BG22" s="1360">
        <f>IF(ISNUMBER(STDEV(BG8:BG19)),STDEV(BG8:BG19),"-")</f>
        <v>0.28004879496829749</v>
      </c>
      <c r="BH22" s="1361">
        <f>IF(ISNUMBER(STDEV(BH8:BH19)),STDEV(BH8:BH19),"-")</f>
        <v>3.7566513253985945</v>
      </c>
      <c r="BI22" s="1224">
        <f>IF(ISNUMBER(STDEV(BI8:BI19)),STDEV(BI8:BI19),"-")</f>
        <v>8.31923034967679E-2</v>
      </c>
      <c r="BJ22" s="1219" t="str">
        <f>IF(ISNUMBER(BL22/BM22),BL22/BM22," - ")</f>
        <v xml:space="preserve"> - </v>
      </c>
      <c r="BK22" s="1320"/>
      <c r="BL22" s="1306">
        <f>IF(ISNUMBER(STDEV(BL8:BL19)),STDEV(BL8:BL19),"-")</f>
        <v>0.35025548019624653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r9vH+CCA0E7BRz1r45EKR9z1/hKywBu9HZUj+otZ637AiGOK0cFeoYjzQJVys4nBsRZhf4ZV55Ga8ife5VCOw==" saltValue="FbLt37bOIRdBIvh13fEk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TORREVIEJA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834</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395</v>
      </c>
      <c r="AA9" s="331" t="str">
        <f>IF(ISNUMBER(IF(J_V="SI",Datos!L9,Datos!L9+Datos!AB9)-IF(Monitorios="SI",Datos!CD9,0)),
                          IF(J_V="SI",Datos!L9,Datos!L9+Datos!AB9)-IF(Monitorios="SI",Datos!CD9,0),
                          " - ")</f>
        <v xml:space="preserve"> - </v>
      </c>
      <c r="AB9" s="333"/>
      <c r="AC9" s="333"/>
      <c r="AD9" s="483"/>
      <c r="AE9" s="483">
        <f>IF(ISNUMBER(Datos!R9),Datos!R9," - ")</f>
        <v>12822</v>
      </c>
      <c r="AF9" s="228" t="str">
        <f>IF(ISNUMBER(Datos!BV9),Datos!BV9," - ")</f>
        <v xml:space="preserve"> - </v>
      </c>
      <c r="AG9" s="224" t="str">
        <f>IF(ISNUMBER(Datos!DV9),Datos!DV9," - ")</f>
        <v xml:space="preserve"> - </v>
      </c>
      <c r="AH9" s="297"/>
      <c r="AI9" s="226"/>
      <c r="AJ9" s="224">
        <f>IF(ISNUMBER(Datos!M9),Datos!M9," - ")</f>
        <v>636</v>
      </c>
      <c r="AK9" s="228">
        <f>IF(ISNUMBER(Datos!N9),Datos!N9," - ")</f>
        <v>986</v>
      </c>
      <c r="AL9" s="228" t="str">
        <f>IF(ISNUMBER(Datos!BW9),Datos!BW9," - ")</f>
        <v xml:space="preserve"> - </v>
      </c>
      <c r="AM9" s="227" t="str">
        <f>IF(ISNUMBER(Datos!BX9),Datos!BX9," - ")</f>
        <v xml:space="preserve"> - </v>
      </c>
      <c r="AN9" s="242"/>
      <c r="AO9" s="259">
        <f>IF(ISNUMBER(((NºAsuntos!I9/NºAsuntos!G9)*11)/factor_trimestre),((NºAsuntos!I9/NºAsuntos!G9)*11)/factor_trimestre," - ")</f>
        <v>10.430733410942958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3.5451829120568525E-2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125</v>
      </c>
      <c r="G10" s="224">
        <f>IF(ISNUMBER(Datos!I10),Datos!I10," - ")</f>
        <v>125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39</v>
      </c>
      <c r="Z10" s="617">
        <f>IF(ISNUMBER(Datos!Q10),Datos!Q10," - ")</f>
        <v>8</v>
      </c>
      <c r="AA10" s="331">
        <f>IF(ISNUMBER(Datos!L10),Datos!L10,"-")</f>
        <v>110</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25</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8.4615384615384635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-2.5974025974025976E-2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125</v>
      </c>
      <c r="G13" s="895">
        <f>SUBTOTAL(9,G8:G12)</f>
        <v>125</v>
      </c>
      <c r="H13" s="905"/>
      <c r="I13" s="895">
        <f t="shared" ref="I13:N13" si="0">SUBTOTAL(9,I8:I12)</f>
        <v>0</v>
      </c>
      <c r="J13" s="864">
        <f t="shared" si="0"/>
        <v>0</v>
      </c>
      <c r="K13" s="905">
        <f t="shared" si="0"/>
        <v>0</v>
      </c>
      <c r="L13" s="905">
        <f t="shared" si="0"/>
        <v>0</v>
      </c>
      <c r="M13" s="905">
        <f t="shared" si="0"/>
        <v>0</v>
      </c>
      <c r="N13" s="905">
        <f t="shared" si="0"/>
        <v>840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39</v>
      </c>
      <c r="Z13" s="904">
        <f t="shared" si="2"/>
        <v>403</v>
      </c>
      <c r="AA13" s="897">
        <f t="shared" si="2"/>
        <v>110</v>
      </c>
      <c r="AB13" s="897">
        <f t="shared" si="2"/>
        <v>0</v>
      </c>
      <c r="AC13" s="897">
        <f t="shared" si="2"/>
        <v>0</v>
      </c>
      <c r="AD13" s="897">
        <f t="shared" si="2"/>
        <v>0</v>
      </c>
      <c r="AE13" s="897">
        <f t="shared" si="2"/>
        <v>12897</v>
      </c>
      <c r="AF13" s="905">
        <f t="shared" si="2"/>
        <v>0</v>
      </c>
      <c r="AG13" s="905">
        <f t="shared" si="2"/>
        <v>0</v>
      </c>
      <c r="AH13" s="905">
        <f t="shared" si="2"/>
        <v>0</v>
      </c>
      <c r="AI13" s="905">
        <f t="shared" si="2"/>
        <v>0</v>
      </c>
      <c r="AJ13" s="905">
        <f t="shared" si="2"/>
        <v>661</v>
      </c>
      <c r="AK13" s="905">
        <f t="shared" si="2"/>
        <v>992</v>
      </c>
      <c r="AL13" s="905">
        <f t="shared" si="2"/>
        <v>0</v>
      </c>
      <c r="AM13" s="905">
        <f t="shared" si="2"/>
        <v>0</v>
      </c>
      <c r="AN13" s="905">
        <f t="shared" si="2"/>
        <v>0</v>
      </c>
      <c r="AO13" s="901">
        <f>IF(ISNUMBER(((NºAsuntos!I13/NºAsuntos!G13)*11)/factor_trimestre),((NºAsuntos!I13/NºAsuntos!G13)*11)/factor_trimestre," - ")</f>
        <v>10.401376146788992</v>
      </c>
      <c r="AP13" s="907" t="str">
        <f>IF(ISNUMBER(Datos!CI13/Datos!CJ13),Datos!CI13/Datos!CJ13," - ")</f>
        <v xml:space="preserve"> - </v>
      </c>
      <c r="AQ13" s="923">
        <f t="shared" ref="AQ13:AV13" si="3">SUBTOTAL(9,AQ9:AQ12)</f>
        <v>0</v>
      </c>
      <c r="AR13" s="923">
        <f t="shared" si="3"/>
        <v>9.4778031465425489E-3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2699</v>
      </c>
      <c r="G15" s="224">
        <f>IF(ISNUMBER(IF(D_I="SI",Datos!I15,Datos!I15+Datos!AC15)),IF(D_I="SI",Datos!I15,Datos!I15+Datos!AC15)," - ")</f>
        <v>2658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1900</v>
      </c>
      <c r="Z15" s="617">
        <f>IF(ISNUMBER(Datos!Q15),Datos!Q15," - ")</f>
        <v>25</v>
      </c>
      <c r="AA15" s="331">
        <f>IF(ISNUMBER(IF(D_I="SI",Datos!L15,Datos!L15+Datos!AF15)),IF(D_I="SI",Datos!L15,Datos!L15+Datos!AF15)," - ")</f>
        <v>2965</v>
      </c>
      <c r="AB15" s="333"/>
      <c r="AC15" s="333"/>
      <c r="AD15" s="483"/>
      <c r="AE15" s="483">
        <f>IF(ISNUMBER(Datos!R15),Datos!R15," - ")</f>
        <v>425</v>
      </c>
      <c r="AF15" s="228" t="str">
        <f>IF(ISNUMBER(Datos!BV15),Datos!BV15," - ")</f>
        <v xml:space="preserve"> - </v>
      </c>
      <c r="AG15" s="224"/>
      <c r="AH15" s="297"/>
      <c r="AI15" s="226"/>
      <c r="AJ15" s="224">
        <f>IF(ISNUMBER(Datos!M15),Datos!M15," - ")</f>
        <v>339</v>
      </c>
      <c r="AK15" s="228">
        <f>IF(ISNUMBER(Datos!N15),Datos!N15," - ")</f>
        <v>970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4.6815789473684211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7</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279</v>
      </c>
      <c r="Z18" s="617">
        <f>IF(ISNUMBER(Datos!Q18),Datos!Q18," - ")</f>
        <v>16</v>
      </c>
      <c r="AA18" s="331">
        <f>IF(ISNUMBER(Datos!L18),Datos!L18,"-")</f>
        <v>140</v>
      </c>
      <c r="AB18" s="333"/>
      <c r="AC18" s="333"/>
      <c r="AD18" s="483"/>
      <c r="AE18" s="483">
        <f>IF(ISNUMBER(Datos!R18),Datos!R18," - ")</f>
        <v>26</v>
      </c>
      <c r="AF18" s="228" t="str">
        <f>IF(ISNUMBER(Datos!BV18),Datos!BV18," - ")</f>
        <v xml:space="preserve"> - </v>
      </c>
      <c r="AG18" s="224" t="str">
        <f>IF(ISNUMBER(Datos!DV18),Datos!DV18," - ")</f>
        <v xml:space="preserve"> - </v>
      </c>
      <c r="AH18" s="297"/>
      <c r="AI18" s="226"/>
      <c r="AJ18" s="224">
        <f>IF(ISNUMBER(Datos!M18),Datos!M18," - ")</f>
        <v>48</v>
      </c>
      <c r="AK18" s="228">
        <f>IF(ISNUMBER(Datos!N18),Datos!N18," - ")</f>
        <v>209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1.5053763440860213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2699</v>
      </c>
      <c r="G19" s="895">
        <f>SUBTOTAL(9,G15:G18)</f>
        <v>2785</v>
      </c>
      <c r="H19" s="927">
        <f>SUBTOTAL(9,H15:H18)</f>
        <v>0</v>
      </c>
      <c r="I19" s="908">
        <f>SUBTOTAL(9,I15:I18)</f>
        <v>0</v>
      </c>
      <c r="J19" s="864">
        <f>SUBTOTAL(9,J14:J18)</f>
        <v>0</v>
      </c>
      <c r="K19" s="927">
        <f t="shared" ref="K19:S19" si="4">SUBTOTAL(9,K15:K18)</f>
        <v>0</v>
      </c>
      <c r="L19" s="927">
        <f t="shared" si="4"/>
        <v>0</v>
      </c>
      <c r="M19" s="927">
        <f t="shared" si="4"/>
        <v>0</v>
      </c>
      <c r="N19" s="927">
        <f t="shared" si="4"/>
        <v>67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2179</v>
      </c>
      <c r="Z19" s="927">
        <f t="shared" si="5"/>
        <v>41</v>
      </c>
      <c r="AA19" s="927">
        <f t="shared" si="5"/>
        <v>3105</v>
      </c>
      <c r="AB19" s="927">
        <f t="shared" si="5"/>
        <v>0</v>
      </c>
      <c r="AC19" s="927">
        <f t="shared" si="5"/>
        <v>0</v>
      </c>
      <c r="AD19" s="927">
        <f t="shared" si="5"/>
        <v>0</v>
      </c>
      <c r="AE19" s="927">
        <f t="shared" si="5"/>
        <v>451</v>
      </c>
      <c r="AF19" s="927">
        <f t="shared" si="5"/>
        <v>0</v>
      </c>
      <c r="AG19" s="927">
        <f t="shared" si="5"/>
        <v>0</v>
      </c>
      <c r="AH19" s="927">
        <f t="shared" si="5"/>
        <v>0</v>
      </c>
      <c r="AI19" s="927">
        <f t="shared" si="5"/>
        <v>0</v>
      </c>
      <c r="AJ19" s="927">
        <f t="shared" si="5"/>
        <v>387</v>
      </c>
      <c r="AK19" s="927">
        <f t="shared" si="5"/>
        <v>1179</v>
      </c>
      <c r="AL19" s="927">
        <f t="shared" si="5"/>
        <v>0</v>
      </c>
      <c r="AM19" s="927">
        <f t="shared" si="5"/>
        <v>0</v>
      </c>
      <c r="AN19" s="927">
        <f t="shared" si="5"/>
        <v>0</v>
      </c>
      <c r="AO19" s="929">
        <f>IF(ISNUMBER(((NºAsuntos!I19/NºAsuntos!G19)*11)/factor_trimestre),((NºAsuntos!I19/NºAsuntos!G19)*11)/factor_trimestre," - ")</f>
        <v>4.2748967416245991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11</v>
      </c>
      <c r="F20" s="817">
        <f t="shared" si="7"/>
        <v>2824</v>
      </c>
      <c r="G20" s="817">
        <f t="shared" si="7"/>
        <v>2910</v>
      </c>
      <c r="H20" s="818">
        <f t="shared" si="7"/>
        <v>0</v>
      </c>
      <c r="I20" s="817">
        <f t="shared" si="7"/>
        <v>0</v>
      </c>
      <c r="J20" s="819">
        <f t="shared" si="7"/>
        <v>0</v>
      </c>
      <c r="K20" s="817">
        <f t="shared" si="7"/>
        <v>0</v>
      </c>
      <c r="L20" s="820">
        <f t="shared" si="7"/>
        <v>0</v>
      </c>
      <c r="M20" s="817">
        <f t="shared" si="7"/>
        <v>0</v>
      </c>
      <c r="N20" s="818">
        <f t="shared" si="7"/>
        <v>907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2218</v>
      </c>
      <c r="Z20" s="824">
        <f t="shared" si="8"/>
        <v>444</v>
      </c>
      <c r="AA20" s="825">
        <f t="shared" si="8"/>
        <v>3215</v>
      </c>
      <c r="AB20" s="825">
        <f t="shared" si="8"/>
        <v>0</v>
      </c>
      <c r="AC20" s="825">
        <f t="shared" si="8"/>
        <v>0</v>
      </c>
      <c r="AD20" s="826">
        <f t="shared" si="8"/>
        <v>0</v>
      </c>
      <c r="AE20" s="826">
        <f t="shared" si="8"/>
        <v>13348</v>
      </c>
      <c r="AF20" s="827">
        <f t="shared" si="8"/>
        <v>0</v>
      </c>
      <c r="AG20" s="828">
        <f t="shared" si="8"/>
        <v>0</v>
      </c>
      <c r="AH20" s="829">
        <f t="shared" si="8"/>
        <v>0</v>
      </c>
      <c r="AI20" s="827">
        <f t="shared" si="8"/>
        <v>0</v>
      </c>
      <c r="AJ20" s="817">
        <f t="shared" si="8"/>
        <v>1048</v>
      </c>
      <c r="AK20" s="817">
        <f t="shared" si="8"/>
        <v>2171</v>
      </c>
      <c r="AL20" s="817">
        <f t="shared" si="8"/>
        <v>0</v>
      </c>
      <c r="AM20" s="830">
        <f t="shared" si="8"/>
        <v>0</v>
      </c>
      <c r="AN20" s="820">
        <f>IF(ISNUMBER(Datos!K20/Datos!J20),Datos!K20/Datos!J20," - ")</f>
        <v>0.98833262621977092</v>
      </c>
      <c r="AO20" s="820">
        <f>IF(ISNUMBER(FIND("06",Criterios!A8,1)),(IF(ISNUMBER(((Datos!R20/Datos!Q20)*11)/factor_trimestre),((Datos!R20/Datos!Q20)*11)/factor_trimestre," - ")),(IF(ISNUMBER(((Datos!L20/Datos!K20)*11)/factor_trimestre),((Datos!L20/Datos!K20)*11)/factor_trimestre," - ")))</f>
        <v>7.7347070186735349</v>
      </c>
      <c r="AP20" s="831" t="str">
        <f>IF(ISNUMBER(Datos!CI20/Datos!CJ20),Datos!CI20/Datos!CJ20," - ")</f>
        <v xml:space="preserve"> - </v>
      </c>
      <c r="AQ20" s="831">
        <f>IF(OR(ISNUMBER(FIND("01",Criterios!A8,1)),ISNUMBER(FIND("02",Criterios!A8,1)),ISNUMBER(FIND("03",Criterios!A8,1)),ISNUMBER(FIND("04",Criterios!A8,1))),(J20-Y20+K20)/(F20-K20),(I20-Y20+K20)/(F20-K20))</f>
        <v>-0.78541076487252126</v>
      </c>
      <c r="AR20" s="831">
        <f>IF(ISNUMBER((Datos!P20-Datos!Q20+O20)/(Datos!R20-Datos!P20+Datos!Q20-O20)),(Datos!P20-Datos!Q20+O20)/(Datos!R20-Datos!P20+Datos!Q20-O20)," - ")</f>
        <v>3.5933255723709742E-2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1486.0995928940968</v>
      </c>
      <c r="G22" s="551">
        <f>IF(ISNUMBER(STDEV(G8:G19)),STDEV(G8:G19),"-")</f>
        <v>1422.5055360173471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274.52990122510641</v>
      </c>
      <c r="AK22" s="251"/>
      <c r="AL22" s="251">
        <f>IF(ISNUMBER(STDEV(AL8:AL19)),STDEV(AL8:AL19),"-")</f>
        <v>0</v>
      </c>
      <c r="AM22" s="253">
        <f>IF(ISNUMBER(STDEV(AM8:AM19)),STDEV(AM8:AM19),"-")</f>
        <v>0</v>
      </c>
      <c r="AN22" s="538">
        <f>IF(ISNUMBER(STDEV(AN8:AN19)),STDEV(AN8:AN19),"-")</f>
        <v>0</v>
      </c>
      <c r="AO22" s="539">
        <f>IF(ISNUMBER(STDEV(AO8:AO19)),STDEV(AO8:AO19),"-")</f>
        <v>3.6777142131270626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jAnTQPBNukyOIjcmCi+upNSt61FWzixR02QutOdRS2LvQuPyqoLQgl0PsPkJjpZKvPUCjeBBF+j24Ch3s4mjA==" saltValue="qGUAkmo8AQ+r4vy6+9rO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yQAK10mEy755b5DKxdmRXwipB0vQvbCJ9ERpQxdt5KzLpHzUv1rKE4irZz5dZ7eBCAlvUBCpXPmE5QukHN9uw==" saltValue="wIagP6fpzJzjCRXKuZUv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wK+WzCpbdxVRSHZZomAm1P72H+8Yn8U3q2w++us2FHdpB7Xw5QRytwmEgIRMwut+Kj+H2m2J/E8N/h+3RbAPA==" saltValue="Xq2dnZNu6KXC1vn59gGn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TORREVIEJA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0.25267584097859325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0.17866880059797702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Ha2kxuIQbVef5cnXHwTmv9DIky6X6+N1EMfqKxRCNzeqRhFOF6BshLiH//QvlupAy1WB7lMHV0Sx7A3wI3KbA==" saltValue="9SK6W8JVSxkTxe2yTZGgT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S01ORDBeq3xzxj8/Ris7ZA6gXQsWZp07yvcLcSZXgJBNmh1Luib7a556jEdr54nFDHMZC2TxtpRaldp9RglrQ==" saltValue="FJnMimn07xB3WXtoD7h6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TORREVIEJA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9173</v>
      </c>
      <c r="D9" s="403">
        <f>IF(ISNUMBER(C9/Datos!BH9),C9/Datos!BH9," - ")</f>
        <v>1834.6</v>
      </c>
      <c r="E9" s="402">
        <f>IF(ISNUMBER(IF(J_V="SI",Datos!J9,Datos!J9+Datos!Z9)),IF(J_V="SI",Datos!J9,Datos!J9+Datos!Z9)," - ")</f>
        <v>2372</v>
      </c>
      <c r="F9" s="403">
        <f>IF(ISNUMBER(E9/B9),E9/B9," - ")</f>
        <v>474.4</v>
      </c>
      <c r="G9" s="402">
        <f>IF(ISNUMBER(IF(J_V="SI",Datos!K9,Datos!K9+Datos!AA9)),IF(J_V="SI",Datos!K9,Datos!K9+Datos!AA9)," - ")</f>
        <v>2577</v>
      </c>
      <c r="H9" s="403">
        <f>IF(ISNUMBER(G9/B9),G9/B9," - ")</f>
        <v>515.4</v>
      </c>
      <c r="I9" s="402">
        <f>IF(ISNUMBER(IF(J_V="SI",Datos!L9,Datos!L9+Datos!AB9)),IF(J_V="SI",Datos!L9,Datos!L9+Datos!AB9)," - ")</f>
        <v>8960</v>
      </c>
      <c r="J9" s="403">
        <f>IF(ISNUMBER(I9/B9),I9/B9," - ")</f>
        <v>1792</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125</v>
      </c>
      <c r="D10" s="403">
        <f>IF(ISNUMBER(C10/Datos!BH10),C10/Datos!BH10," - ")</f>
        <v>62.5</v>
      </c>
      <c r="E10" s="402">
        <f>IF(ISNUMBER(Datos!J10),Datos!J10," - ")</f>
        <v>24</v>
      </c>
      <c r="F10" s="403">
        <f>IF(ISNUMBER(E10/B10),E10/B10," - ")</f>
        <v>24</v>
      </c>
      <c r="G10" s="402">
        <f>IF(ISNUMBER(Datos!K10),Datos!K10," - ")</f>
        <v>39</v>
      </c>
      <c r="H10" s="403">
        <f>IF(ISNUMBER(G10/B10),G10/B10," - ")</f>
        <v>39</v>
      </c>
      <c r="I10" s="402">
        <f>IF(ISNUMBER(Datos!L10),Datos!L10," - ")</f>
        <v>110</v>
      </c>
      <c r="J10" s="403">
        <f>IF(ISNUMBER(I10/B10),I10/B10," - ")</f>
        <v>110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9298</v>
      </c>
      <c r="D13" s="847" t="str">
        <f>IF(ISNUMBER(C13/Datos!BI13),C13/Datos!BI13," - ")</f>
        <v xml:space="preserve"> - </v>
      </c>
      <c r="E13" s="846">
        <f>SUBTOTAL(9,E8:E12)</f>
        <v>2396</v>
      </c>
      <c r="F13" s="847">
        <f>IF(ISNUMBER(E13/B13),E13/B13," - ")</f>
        <v>399.33333333333331</v>
      </c>
      <c r="G13" s="846">
        <f>SUBTOTAL(9,G8:G12)</f>
        <v>2616</v>
      </c>
      <c r="H13" s="847">
        <f>IF(ISNUMBER(G13/B13),G13/B13," - ")</f>
        <v>436</v>
      </c>
      <c r="I13" s="846">
        <f>SUBTOTAL(9,I8:I12)</f>
        <v>9070</v>
      </c>
      <c r="J13" s="847">
        <f>IF(ISNUMBER(I13/B13),I13/B13," - ")</f>
        <v>1511.6666666666667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2658</v>
      </c>
      <c r="D15" s="403">
        <f>IF(ISNUMBER(C15/Datos!BH15),C15/Datos!BH15," - ")</f>
        <v>664.5</v>
      </c>
      <c r="E15" s="402">
        <f>IF(ISNUMBER(IF(D_I="SI",Datos!J15,Datos!J15+Datos!AD15)),IF(D_I="SI",Datos!J15,Datos!J15+Datos!AD15)," - ")</f>
        <v>2166</v>
      </c>
      <c r="F15" s="403">
        <f>IF(ISNUMBER(E15/B15),E15/B15," - ")</f>
        <v>541.5</v>
      </c>
      <c r="G15" s="402">
        <f>IF(ISNUMBER(IF(D_I="SI",Datos!K15,Datos!K15+Datos!AE15)),IF(D_I="SI",Datos!K15,Datos!K15+Datos!AE15)," - ")</f>
        <v>1900</v>
      </c>
      <c r="H15" s="403">
        <f>IF(ISNUMBER(G15/B15),G15/B15," - ")</f>
        <v>475</v>
      </c>
      <c r="I15" s="402">
        <f>IF(ISNUMBER(IF(D_I="SI",Datos!L15,Datos!L15+Datos!AF15)),IF(D_I="SI",Datos!L15,Datos!L15+Datos!AF15)," - ")</f>
        <v>2965</v>
      </c>
      <c r="J15" s="403">
        <f>IF(ISNUMBER(I15/B15),I15/B15," - ")</f>
        <v>741.25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127</v>
      </c>
      <c r="D18" s="403">
        <f>IF(ISNUMBER(C18/Datos!BH18),C18/Datos!BH18," - ")</f>
        <v>63.5</v>
      </c>
      <c r="E18" s="402">
        <f>IF(ISNUMBER(IF(D_I="SI",Datos!J18,Datos!J18+Datos!AD18)),IF(D_I="SI",Datos!J18,Datos!J18+Datos!AD18)," - ")</f>
        <v>293</v>
      </c>
      <c r="F18" s="403">
        <f>IF(ISNUMBER(E18/B18),E18/B18," - ")</f>
        <v>293</v>
      </c>
      <c r="G18" s="402">
        <f>IF(ISNUMBER(IF(D_I="SI",Datos!K18,Datos!K18+Datos!AE18)),IF(D_I="SI",Datos!K18,Datos!K18+Datos!AE18)," - ")</f>
        <v>279</v>
      </c>
      <c r="H18" s="403">
        <f>IF(ISNUMBER(G18/B18),G18/B18," - ")</f>
        <v>279</v>
      </c>
      <c r="I18" s="402">
        <f>IF(ISNUMBER(IF(D_I="SI",Datos!L18,Datos!L18+Datos!AF18)),IF(D_I="SI",Datos!L18,Datos!L18+Datos!AF18)," - ")</f>
        <v>140</v>
      </c>
      <c r="J18" s="403">
        <f>IF(ISNUMBER(I18/B18),I18/B18," - ")</f>
        <v>140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2785</v>
      </c>
      <c r="D19" s="847" t="str">
        <f>IF(ISNUMBER(C19/Datos!BI19),C19/Datos!BI19," - ")</f>
        <v xml:space="preserve"> - </v>
      </c>
      <c r="E19" s="846">
        <f>SUBTOTAL(9,E14:E18)</f>
        <v>2459</v>
      </c>
      <c r="F19" s="847">
        <f>IF(ISNUMBER(E19/B19),E19/B19," - ")</f>
        <v>491.8</v>
      </c>
      <c r="G19" s="846">
        <f>SUBTOTAL(9,G14:G18)</f>
        <v>2179</v>
      </c>
      <c r="H19" s="847">
        <f>IF(ISNUMBER(G19/B19),G19/B19," - ")</f>
        <v>435.8</v>
      </c>
      <c r="I19" s="846">
        <f>SUBTOTAL(9,I14:I18)</f>
        <v>3105</v>
      </c>
      <c r="J19" s="847">
        <f>IF(ISNUMBER(I19/B19),I19/B19," - ")</f>
        <v>621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12083</v>
      </c>
      <c r="D20" s="792" t="str">
        <f>IF(ISNUMBER(C20/Datos!BI20),C20/Datos!BI20," - ")</f>
        <v xml:space="preserve"> - </v>
      </c>
      <c r="E20" s="791">
        <f>SUBTOTAL(9,E9:E19)</f>
        <v>4855</v>
      </c>
      <c r="F20" s="792">
        <f>IF(ISNUMBER(E20/B20),E20/B20," - ")</f>
        <v>485.5</v>
      </c>
      <c r="G20" s="791">
        <f>SUBTOTAL(9,G9:G19)</f>
        <v>4795</v>
      </c>
      <c r="H20" s="792">
        <f>IF(ISNUMBER(G20/B20),G20/B20," - ")</f>
        <v>479.5</v>
      </c>
      <c r="I20" s="791">
        <f>SUBTOTAL(9,I9:I19)</f>
        <v>12175</v>
      </c>
      <c r="J20" s="792">
        <f>IF(ISNUMBER(I20/B20),I20/B20," - ")</f>
        <v>1217.5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pvlO/v5jX+kxF+41KQp9UU/3kVUJViyf38f6dt7rchsFMI2iwwBy4f5Jk12/9fnSURXnNiSATKpkQCONsXrOA==" saltValue="cVya0sGQNHUwb1yyi44g5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TORREVIEJA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125</v>
      </c>
      <c r="G10" s="681">
        <f>IF(ISNUMBER(Datos!I10),Datos!I10," - ")</f>
        <v>125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39</v>
      </c>
      <c r="AC10" s="680" t="str">
        <f>IF(ISNUMBER(IF(D_I="SI",DatosP!K18,DatosP!K18+DatosP!AE18)),IF(D_I="SI",DatosP!K18,DatosP!K18+DatosP!AE18)," - ")</f>
        <v xml:space="preserve"> - </v>
      </c>
      <c r="AD10" s="682"/>
      <c r="AE10" s="682"/>
      <c r="AF10" s="685">
        <f>IF(ISNUMBER(Datos!L10),Datos!L10,"-")</f>
        <v>110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25</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8.4615384615384635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125</v>
      </c>
      <c r="G13" s="933">
        <f t="shared" si="0"/>
        <v>125</v>
      </c>
      <c r="H13" s="933">
        <f t="shared" si="0"/>
        <v>0</v>
      </c>
      <c r="I13" s="935">
        <f t="shared" si="0"/>
        <v>0</v>
      </c>
      <c r="J13" s="934">
        <f t="shared" si="0"/>
        <v>0</v>
      </c>
      <c r="K13" s="934">
        <f t="shared" si="0"/>
        <v>0</v>
      </c>
      <c r="L13" s="936">
        <f t="shared" si="0"/>
        <v>0</v>
      </c>
      <c r="M13" s="936">
        <f t="shared" si="0"/>
        <v>0</v>
      </c>
      <c r="N13" s="934">
        <f t="shared" si="0"/>
        <v>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39</v>
      </c>
      <c r="AC13" s="934">
        <f t="shared" si="1"/>
        <v>0</v>
      </c>
      <c r="AD13" s="934">
        <f t="shared" si="1"/>
        <v>0</v>
      </c>
      <c r="AE13" s="934">
        <f t="shared" si="1"/>
        <v>0</v>
      </c>
      <c r="AF13" s="934">
        <f t="shared" si="1"/>
        <v>110</v>
      </c>
      <c r="AG13" s="934">
        <f t="shared" si="1"/>
        <v>0</v>
      </c>
      <c r="AH13" s="934">
        <f t="shared" si="1"/>
        <v>0</v>
      </c>
      <c r="AI13" s="934">
        <f t="shared" si="1"/>
        <v>0</v>
      </c>
      <c r="AJ13" s="934">
        <f t="shared" si="1"/>
        <v>0</v>
      </c>
      <c r="AK13" s="934">
        <f t="shared" si="1"/>
        <v>0</v>
      </c>
      <c r="AL13" s="934">
        <f t="shared" si="1"/>
        <v>25</v>
      </c>
      <c r="AM13" s="934">
        <f t="shared" si="1"/>
        <v>6</v>
      </c>
      <c r="AN13" s="934">
        <f t="shared" si="1"/>
        <v>0</v>
      </c>
      <c r="AO13" s="934">
        <f t="shared" si="1"/>
        <v>0</v>
      </c>
      <c r="AP13" s="939">
        <f>IF(ISNUMBER(((Datos!L13/Datos!K13)*11)/factor_trimestre),((Datos!L13/Datos!K13)*11)/factor_trimestre," - ")</f>
        <v>10.774596774193549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-0.312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4.2748967416245991</v>
      </c>
      <c r="AQ19" s="939">
        <f>IF(ISNUMBER(((Datos!M19/Datos!L19)*11)/factor_trimestre),((Datos!M19/Datos!L19)*11)/factor_trimestre," - ")</f>
        <v>0.37391304347826088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6.1176470588235297E-2</v>
      </c>
      <c r="AW19" s="941">
        <f>IF(ISNUMBER((Datos!Q19-Datos!R19)/(Datos!S19-Datos!Q19+Datos!R19)),(Datos!Q19-Datos!R19)/(Datos!S19-Datos!Q19+Datos!R19)," - ")</f>
        <v>-0.15909972836631742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125</v>
      </c>
      <c r="G20" s="946">
        <f t="shared" si="4"/>
        <v>125</v>
      </c>
      <c r="H20" s="946">
        <f t="shared" si="4"/>
        <v>0</v>
      </c>
      <c r="I20" s="947">
        <f t="shared" si="4"/>
        <v>0</v>
      </c>
      <c r="J20" s="948">
        <f t="shared" si="4"/>
        <v>0</v>
      </c>
      <c r="K20" s="948">
        <f t="shared" si="4"/>
        <v>0</v>
      </c>
      <c r="L20" s="948">
        <f t="shared" si="4"/>
        <v>0</v>
      </c>
      <c r="M20" s="948">
        <f t="shared" si="4"/>
        <v>0</v>
      </c>
      <c r="N20" s="947">
        <f t="shared" si="4"/>
        <v>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39</v>
      </c>
      <c r="AC20" s="952">
        <f t="shared" si="5"/>
        <v>0</v>
      </c>
      <c r="AD20" s="952">
        <f t="shared" si="5"/>
        <v>0</v>
      </c>
      <c r="AE20" s="952">
        <f t="shared" si="5"/>
        <v>0</v>
      </c>
      <c r="AF20" s="953">
        <f t="shared" si="5"/>
        <v>110</v>
      </c>
      <c r="AG20" s="953">
        <f t="shared" si="5"/>
        <v>0</v>
      </c>
      <c r="AH20" s="953">
        <f t="shared" si="5"/>
        <v>0</v>
      </c>
      <c r="AI20" s="953">
        <f t="shared" si="5"/>
        <v>0</v>
      </c>
      <c r="AJ20" s="954">
        <f t="shared" si="5"/>
        <v>0</v>
      </c>
      <c r="AK20" s="954">
        <f t="shared" si="5"/>
        <v>0</v>
      </c>
      <c r="AL20" s="946">
        <f t="shared" si="5"/>
        <v>25</v>
      </c>
      <c r="AM20" s="946">
        <f t="shared" si="5"/>
        <v>6</v>
      </c>
      <c r="AN20" s="946">
        <f t="shared" si="5"/>
        <v>0</v>
      </c>
      <c r="AO20" s="946">
        <f t="shared" si="5"/>
        <v>0</v>
      </c>
      <c r="AP20" s="946">
        <f>IF(ISNUMBER(((Datos!L20/Datos!K20)*11)/factor_trimestre),((Datos!L20/Datos!K20)*11)/factor_trimestre," - ")</f>
        <v>7.7347070186735349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-0.312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3.5933255723709742E-2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83.333333333333329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72.168783648703226</v>
      </c>
      <c r="G22" s="734">
        <f>IF(ISNUMBER(STDEV(G8:G19)),STDEV(G8:G19),"-")</f>
        <v>72.168783648703226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22.516660498395403</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3.2945487339452826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oYi+7VWReduc3lUUjrLUQeNFq9ZOCsElBRv7kTQRG1lvQ5KGJgVi1zAYgqIkdCN3qTK+aOl1ViNRujZUC/KSw==" saltValue="PwevUJPyoMvit9WYdu6i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TORREVIEJA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141</v>
      </c>
      <c r="O9" s="333"/>
      <c r="P9" s="333"/>
      <c r="Q9" s="225">
        <f>IF(ISNUMBER(Datos!P9),Datos!P9,0)</f>
        <v>834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395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163</v>
      </c>
      <c r="AI9" s="224" t="str">
        <f>IF(ISNUMBER(Datos!CD9),Datos!CD9,"-")</f>
        <v>-</v>
      </c>
      <c r="AJ9" s="1214" t="str">
        <f>IF(ISNUMBER(Datos!EN9),Datos!EN9," - ")</f>
        <v xml:space="preserve"> - </v>
      </c>
      <c r="AK9" s="333"/>
      <c r="AL9" s="478"/>
      <c r="AM9" s="1214">
        <f>IF(ISNUMBER(Datos!R9),Datos!R9," - ")</f>
        <v>12822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636</v>
      </c>
      <c r="BD9" s="228">
        <f>IF(ISNUMBER(Datos!N9),Datos!N9," - ")</f>
        <v>986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1.086424957841484</v>
      </c>
      <c r="BH9" s="1214">
        <f>IF(ISNUMBER(((IF(J_V="SI",Datos!L9/Datos!K9,(Datos!L9+Datos!AB9)/(Datos!K9+Datos!AA9)))*11)/factor_trimestre),((IF(J_V="SI",Datos!L9/Datos!K9,(Datos!L9+Datos!AB9)/(Datos!K9+Datos!AA9)))*11)/factor_trimestre," - ")</f>
        <v>10.430733410942958</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3.5451829120568525E-2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771.50495747136415</v>
      </c>
      <c r="CF9" s="228">
        <f ca="1">AVERAGEIFS($AB:$AB,$BW:$BW,BW9,$BX:$BX,BX9)</f>
        <v>771.50495747136415</v>
      </c>
      <c r="CG9" s="1191">
        <v>0.7</v>
      </c>
      <c r="CH9" s="1191">
        <f ca="1">AVERAGEIF($BW:$BW,$BW9,$AC:$AC)</f>
        <v>133.19999999999999</v>
      </c>
      <c r="CI9" s="228">
        <f ca="1">AVERAGEIFS($AC:$AC,$BW:$BW,$BW9,$BX:$BX,$BX9)</f>
        <v>133.19999999999999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1071.6666666666667</v>
      </c>
      <c r="CR9" s="228">
        <f ca="1">AVERAGEIFS($AF:$AF,$BW:$BW,BW9,$BX:$BX,BX9)</f>
        <v>1071.6666666666667</v>
      </c>
      <c r="CS9" s="1191">
        <v>1.3</v>
      </c>
      <c r="CT9" s="1191">
        <v>1.5</v>
      </c>
      <c r="CU9" s="1191">
        <f ca="1">AVERAGEIF($BW:$BW,$BW9,$AH:$AH)</f>
        <v>69.857142857142861</v>
      </c>
      <c r="CV9" s="228">
        <f ca="1">AVERAGEIFS($AH:$AH,$BW:$BW,$BW9,$BX:$BX,$BX9)</f>
        <v>69.857142857142861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4004.4</v>
      </c>
      <c r="DH9" s="1218">
        <f ca="1">AVERAGEIFS($AM:$AM,$BW:$BW,$BW9,$BX:$BX,$BX9)</f>
        <v>4004.4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4.6927344567114675</v>
      </c>
      <c r="ER9" s="1218">
        <f ca="1">AVERAGEIFS($BH:$BH,$BW:$BW,$BW9,$BX:$BX,$BX9)</f>
        <v>4.6927344567114675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125</v>
      </c>
      <c r="G10" s="332">
        <f>IF(ISNUMBER(Datos!I10),Datos!I10," - ")</f>
        <v>125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39</v>
      </c>
      <c r="AC10" s="224">
        <f>IF(ISNUMBER(Datos!Q10),Datos!Q10," - ")</f>
        <v>8</v>
      </c>
      <c r="AD10" s="224"/>
      <c r="AE10" s="224"/>
      <c r="AF10" s="224">
        <f>IF(ISNUMBER(Datos!L10),Datos!L10,"-")</f>
        <v>110</v>
      </c>
      <c r="AG10" s="333"/>
      <c r="AH10" s="224"/>
      <c r="AI10" s="224"/>
      <c r="AJ10" s="1214"/>
      <c r="AK10" s="333"/>
      <c r="AL10" s="478"/>
      <c r="AM10" s="1214">
        <f>IF(ISNUMBER(Datos!R10),Datos!R10," - ")</f>
        <v>75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25</v>
      </c>
      <c r="BD10" s="228">
        <f>IF(ISNUMBER(Datos!N10),Datos!N10," - ")</f>
        <v>6</v>
      </c>
      <c r="BE10" s="1214" t="str">
        <f>IF(ISNUMBER(Datos!BW10),Datos!BW10," - ")</f>
        <v xml:space="preserve"> - </v>
      </c>
      <c r="BF10" s="1214" t="str">
        <f>IF(ISNUMBER(Datos!BX10),Datos!BX10," - ")</f>
        <v xml:space="preserve"> - </v>
      </c>
      <c r="BG10" s="242">
        <f>IF(ISNUMBER(Datos!K10/Datos!J10),Datos!K10/Datos!J10," - ")</f>
        <v>1.625</v>
      </c>
      <c r="BH10" s="1214">
        <f>IF(ISNUMBER(((Datos!L10/Datos!K10)*11)/factor_trimestre),((Datos!L10/Datos!K10)*11)/factor_trimestre," - ")</f>
        <v>8.4615384615384635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-2.5974025974025976E-2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771.50495747136415</v>
      </c>
      <c r="CF10" s="228">
        <f ca="1">AVERAGEIFS($AB:$AB,$BW:$BW,BW10,$BX:$BX,BX10)</f>
        <v>771.50495747136415</v>
      </c>
      <c r="CG10" s="1191">
        <v>0.7</v>
      </c>
      <c r="CH10" s="1191">
        <f ca="1">AVERAGEIF($BW:$BW,BW10,$AC:$AC)</f>
        <v>133.19999999999999</v>
      </c>
      <c r="CI10" s="228">
        <f ca="1">AVERAGEIFS($AC:$AC,$BW:$BW,BW10,$BX:$BX,BX10)</f>
        <v>133.19999999999999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1071.6666666666667</v>
      </c>
      <c r="CR10" s="228">
        <f ca="1">AVERAGEIFS($AF:$AF,$BW:$BW,BW10,$BX:$BX,BX10)</f>
        <v>1071.6666666666667</v>
      </c>
      <c r="CS10" s="1191">
        <v>1.3</v>
      </c>
      <c r="CT10" s="1191">
        <v>1.5</v>
      </c>
      <c r="CU10" s="1191">
        <f ca="1">AVERAGEIF($BW:$BW,$BW10,$AH:$AH)</f>
        <v>69.857142857142861</v>
      </c>
      <c r="CV10" s="228">
        <f ca="1">AVERAGEIFS($AH:$AH,$BW:$BW,$BW10,$BX:$BX,$BX10)</f>
        <v>69.857142857142861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4004.4</v>
      </c>
      <c r="DH10" s="1218">
        <f ca="1">AVERAGEIFS($AM:$AM,$BW:$BW,$BW10,$BX:$BX,$BX10)</f>
        <v>4004.4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4.6927344567114675</v>
      </c>
      <c r="ER10" s="1218">
        <f ca="1">AVERAGEIFS($BH:$BH,$BW:$BW,$BW10,$BX:$BX,$BX10)</f>
        <v>4.6927344567114675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771.50495747136415</v>
      </c>
      <c r="CF11" s="228">
        <f ca="1">AVERAGEIFS($AB:$AB,$BW:$BW,BW11,$BX:$BX,BX11)</f>
        <v>771.50495747136415</v>
      </c>
      <c r="CG11" s="1191">
        <v>0.7</v>
      </c>
      <c r="CH11" s="1191">
        <f ca="1">AVERAGEIF($BW:$BW,BW11,$AC:$AC)</f>
        <v>133.19999999999999</v>
      </c>
      <c r="CI11" s="228">
        <f ca="1">AVERAGEIFS($AC:$AC,$BW:$BW,BW11,$BX:$BX,BX11)</f>
        <v>133.19999999999999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1071.6666666666667</v>
      </c>
      <c r="CR11" s="228">
        <f ca="1">AVERAGEIFS($AF:$AF,$BW:$BW,BW11,$BX:$BX,BX11)</f>
        <v>1071.6666666666667</v>
      </c>
      <c r="CS11" s="1191">
        <v>1.3</v>
      </c>
      <c r="CT11" s="1191">
        <v>1.5</v>
      </c>
      <c r="CU11" s="1191">
        <f ca="1">AVERAGEIF($BW:$BW,$BW11,$AH:$AH)</f>
        <v>69.857142857142861</v>
      </c>
      <c r="CV11" s="228">
        <f ca="1">AVERAGEIFS($AH:$AH,$BW:$BW,$BW11,$BX:$BX,$BX11)</f>
        <v>69.857142857142861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4004.4</v>
      </c>
      <c r="DH11" s="1218">
        <f ca="1">AVERAGEIFS($AM:$AM,$BW:$BW,$BW11,$BX:$BX,$BX11)</f>
        <v>4004.4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4.6927344567114675</v>
      </c>
      <c r="ER11" s="1218">
        <f ca="1">AVERAGEIFS($BH:$BH,$BW:$BW,$BW11,$BX:$BX,$BX11)</f>
        <v>4.6927344567114675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771.50495747136415</v>
      </c>
      <c r="CF12" s="228">
        <f ca="1">AVERAGEIFS($AB:$AB,$BW:$BW,BW12,$BX:$BX,BX12)</f>
        <v>771.50495747136415</v>
      </c>
      <c r="CG12" s="1191">
        <v>0.7</v>
      </c>
      <c r="CH12" s="1191">
        <f ca="1">AVERAGEIF($BW:$BW,BW12,$AC:$AC)</f>
        <v>133.19999999999999</v>
      </c>
      <c r="CI12" s="228">
        <f ca="1">AVERAGEIFS($AC:$AC,$BW:$BW,BW12,$BX:$BX,BX12)</f>
        <v>133.19999999999999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1071.6666666666667</v>
      </c>
      <c r="CR12" s="228">
        <f ca="1">AVERAGEIFS($AF:$AF,$BW:$BW,BW12,$BX:$BX,BX12)</f>
        <v>1071.6666666666667</v>
      </c>
      <c r="CS12" s="1191">
        <v>1.3</v>
      </c>
      <c r="CT12" s="1191">
        <v>1.5</v>
      </c>
      <c r="CU12" s="1191">
        <f ca="1">AVERAGEIF($BW:$BW,$BW12,$AH:$AH)</f>
        <v>69.857142857142861</v>
      </c>
      <c r="CV12" s="228">
        <f ca="1">AVERAGEIFS($AH:$AH,$BW:$BW,$BW12,$BX:$BX,$BX12)</f>
        <v>69.857142857142861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4004.4</v>
      </c>
      <c r="DH12" s="1218">
        <f ca="1">AVERAGEIFS($AM:$AM,$BW:$BW,$BW12,$BX:$BX,$BX12)</f>
        <v>4004.4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4.6927344567114675</v>
      </c>
      <c r="ER12" s="1218">
        <f ca="1">AVERAGEIFS($BH:$BH,$BW:$BW,$BW12,$BX:$BX,$BX12)</f>
        <v>4.6927344567114675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125</v>
      </c>
      <c r="G13" s="895">
        <f t="shared" si="1"/>
        <v>125</v>
      </c>
      <c r="H13" s="896">
        <f t="shared" si="1"/>
        <v>0</v>
      </c>
      <c r="I13" s="895">
        <f t="shared" si="1"/>
        <v>0</v>
      </c>
      <c r="J13" s="864">
        <f t="shared" si="1"/>
        <v>0</v>
      </c>
      <c r="K13" s="864">
        <f t="shared" si="1"/>
        <v>0</v>
      </c>
      <c r="L13" s="896">
        <f t="shared" si="1"/>
        <v>0</v>
      </c>
      <c r="M13" s="896">
        <f t="shared" si="1"/>
        <v>0</v>
      </c>
      <c r="N13" s="896">
        <f t="shared" si="1"/>
        <v>141</v>
      </c>
      <c r="O13" s="897">
        <f t="shared" si="1"/>
        <v>0</v>
      </c>
      <c r="P13" s="897">
        <f t="shared" si="1"/>
        <v>0</v>
      </c>
      <c r="Q13" s="896">
        <f t="shared" si="1"/>
        <v>840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39</v>
      </c>
      <c r="AC13" s="896">
        <f t="shared" si="2"/>
        <v>403</v>
      </c>
      <c r="AD13" s="896">
        <f t="shared" si="2"/>
        <v>0</v>
      </c>
      <c r="AE13" s="896">
        <f t="shared" si="2"/>
        <v>0</v>
      </c>
      <c r="AF13" s="896">
        <f t="shared" si="2"/>
        <v>110</v>
      </c>
      <c r="AG13" s="896">
        <f t="shared" si="2"/>
        <v>0</v>
      </c>
      <c r="AH13" s="896">
        <f t="shared" si="2"/>
        <v>163</v>
      </c>
      <c r="AI13" s="896">
        <f t="shared" si="2"/>
        <v>0</v>
      </c>
      <c r="AJ13" s="896">
        <f t="shared" si="2"/>
        <v>0</v>
      </c>
      <c r="AK13" s="896">
        <f t="shared" si="2"/>
        <v>0</v>
      </c>
      <c r="AL13" s="896">
        <f t="shared" si="2"/>
        <v>0</v>
      </c>
      <c r="AM13" s="896">
        <f t="shared" si="2"/>
        <v>12897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661</v>
      </c>
      <c r="BD13" s="896">
        <f t="shared" si="2"/>
        <v>992</v>
      </c>
      <c r="BE13" s="896">
        <f t="shared" si="2"/>
        <v>0</v>
      </c>
      <c r="BF13" s="896">
        <f t="shared" si="2"/>
        <v>0</v>
      </c>
      <c r="BG13" s="896">
        <f>IF(ISNUMBER(Datos!K13/Datos!J13),Datos!K13/Datos!J13," - ")</f>
        <v>1.0997782705099779</v>
      </c>
      <c r="BH13" s="900">
        <f>IF(ISNUMBER(((Datos!L13/Datos!K13)*11)/factor_trimestre),((Datos!L13/Datos!K13)*11)/factor_trimestre," - ")</f>
        <v>10.774596774193549</v>
      </c>
      <c r="BI13" s="896">
        <f>IF(ISNUMBER('Resol  Asuntos'!D13/NºAsuntos!G13),'Resol  Asuntos'!D13/NºAsuntos!G13," - ")</f>
        <v>0.25267584097859325</v>
      </c>
      <c r="BJ13" s="896" t="str">
        <f>IF(ISNUMBER(Datos!CI13/Datos!CJ13),Datos!CI13/Datos!CJ13," - ")</f>
        <v xml:space="preserve"> - </v>
      </c>
      <c r="BK13" s="896">
        <f>SUBTOTAL(9,BK8:BK12)</f>
        <v>0</v>
      </c>
      <c r="BL13" s="896">
        <f>IF(ISNUMBER((I13-AB13+L13)/(F13)),(I13-AB13+L13)/(F13)," - ")</f>
        <v>-0.312</v>
      </c>
      <c r="BM13" s="901">
        <f>SUBTOTAL(9,BM9:BM12)</f>
        <v>9.4778031465425489E-3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2699</v>
      </c>
      <c r="G15" s="596">
        <f>IF(ISNUMBER(IF(D_I="SI",Datos!I15,Datos!I15+Datos!AC15)),IF(D_I="SI",Datos!I15,Datos!I15+Datos!AC15)," - ")</f>
        <v>2658</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1900</v>
      </c>
      <c r="AC15" s="224">
        <f>IF(ISNUMBER(Datos!Q15),Datos!Q15," - ")</f>
        <v>25</v>
      </c>
      <c r="AD15" s="224"/>
      <c r="AE15" s="224"/>
      <c r="AF15" s="224">
        <f>IF(ISNUMBER(IF(D_I="SI",Datos!L15,Datos!L15+Datos!AF15)),IF(D_I="SI",Datos!L15,Datos!L15+Datos!AF15)," - ")</f>
        <v>2965</v>
      </c>
      <c r="AG15" s="333"/>
      <c r="AH15" s="224"/>
      <c r="AI15" s="224"/>
      <c r="AJ15" s="1214"/>
      <c r="AK15" s="333"/>
      <c r="AL15" s="478"/>
      <c r="AM15" s="1214">
        <f>IF(ISNUMBER(Datos!R15),Datos!R15," - ")</f>
        <v>425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339</v>
      </c>
      <c r="BD15" s="228">
        <f>IF(ISNUMBER(Datos!N15),Datos!N15," - ")</f>
        <v>970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0.8771929824561403</v>
      </c>
      <c r="BH15" s="1214">
        <f>IF(ISNUMBER(((IF(D_I="SI",Datos!L15/Datos!K15,(Datos!L15+Datos!AF15)/(Datos!K15+Datos!AE15)))*11)/factor_trimestre),((IF(D_I="SI",Datos!L15/Datos!K15,(Datos!L15+Datos!AF15)/(Datos!K15+Datos!AE15)))*11)/factor_trimestre," - ")</f>
        <v>4.6815789473684211</v>
      </c>
      <c r="BI15" s="242">
        <f>IF(ISNUMBER('Resol  Asuntos'!D15/NºAsuntos!G15),'Resol  Asuntos'!D15/NºAsuntos!G15," - ")</f>
        <v>0.17842105263157895</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771.50495747136415</v>
      </c>
      <c r="CF15" s="228">
        <f ca="1">AVERAGEIFS($AB:$AB,$BW:$BW,BW15,$BX:$BX,BX15)</f>
        <v>771.50495747136415</v>
      </c>
      <c r="CG15" s="1191">
        <v>0.7</v>
      </c>
      <c r="CH15" s="1191">
        <f ca="1">AVERAGEIF($BW:$BW,BW15,$AC:$AC)</f>
        <v>133.19999999999999</v>
      </c>
      <c r="CI15" s="228">
        <f ca="1">AVERAGEIFS($AC:$AC,$BW:$BW,BW15,$BX:$BX,BX15)</f>
        <v>133.19999999999999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1071.6666666666667</v>
      </c>
      <c r="CR15" s="228">
        <f ca="1">AVERAGEIFS($AF:$AF,$BW:$BW,BW15,$BX:$BX,BX15)</f>
        <v>1071.6666666666667</v>
      </c>
      <c r="CS15" s="1191">
        <v>1.3</v>
      </c>
      <c r="CT15" s="1191">
        <v>1.5</v>
      </c>
      <c r="CU15" s="1191">
        <f ca="1">AVERAGEIF($BW:$BW,$BW15,$AH:$AH)</f>
        <v>69.857142857142861</v>
      </c>
      <c r="CV15" s="228">
        <f ca="1">AVERAGEIFS($AH:$AH,$BW:$BW,$BW15,$BX:$BX,$BX15)</f>
        <v>69.857142857142861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4004.4</v>
      </c>
      <c r="DH15" s="1218">
        <f ca="1">AVERAGEIFS($AM:$AM,$BW:$BW,$BW15,$BX:$BX,$BX15)</f>
        <v>4004.4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4.6927344567114675</v>
      </c>
      <c r="ER15" s="1218">
        <f ca="1">AVERAGEIFS($BH:$BH,$BW:$BW,$BW15,$BX:$BX,$BX15)</f>
        <v>4.6927344567114675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771.50495747136415</v>
      </c>
      <c r="CF16" s="1218">
        <f ca="1">AVERAGEIFS($AB:$AB,$BW:$BW,BW16,$BX:$BX,BX16)</f>
        <v>771.50495747136415</v>
      </c>
      <c r="CG16" s="1191">
        <v>0.7</v>
      </c>
      <c r="CH16" s="1191">
        <f ca="1">AVERAGEIF($BW:$BW,BW16,$AC:$AC)</f>
        <v>133.19999999999999</v>
      </c>
      <c r="CI16" s="1218">
        <f ca="1">AVERAGEIFS($AC:$AC,$BW:$BW,BW16,$BX:$BX,BX16)</f>
        <v>133.19999999999999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1071.6666666666667</v>
      </c>
      <c r="CR16" s="1218">
        <f ca="1">AVERAGEIFS($AF:$AF,$BW:$BW,BW16,$BX:$BX,BX16)</f>
        <v>1071.6666666666667</v>
      </c>
      <c r="CS16" s="1191">
        <v>1.3</v>
      </c>
      <c r="CT16" s="1191">
        <v>1.5</v>
      </c>
      <c r="CU16" s="1191">
        <f ca="1">AVERAGEIF($BW:$BW,$BW16,$AH:$AH)</f>
        <v>69.857142857142861</v>
      </c>
      <c r="CV16" s="1218">
        <f ca="1">AVERAGEIFS($AH:$AH,$BW:$BW,$BW16,$BX:$BX,$BX16)</f>
        <v>69.857142857142861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4004.4</v>
      </c>
      <c r="DH16" s="1218">
        <f ca="1">AVERAGEIFS($AM:$AM,$BW:$BW,$BW16,$BX:$BX,$BX16)</f>
        <v>4004.4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4.6927344567114675</v>
      </c>
      <c r="ER16" s="1218">
        <f ca="1">AVERAGEIFS($BH:$BH,$BW:$BW,$BW16,$BX:$BX,$BX16)</f>
        <v>4.6927344567114675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771.50495747136415</v>
      </c>
      <c r="CF17" s="228">
        <f ca="1">AVERAGEIFS($AB:$AB,$BW:$BW,BW17,$BX:$BX,BX17)</f>
        <v>771.50495747136415</v>
      </c>
      <c r="CG17" s="1191">
        <v>0.7</v>
      </c>
      <c r="CH17" s="1191">
        <f ca="1">AVERAGEIF($BW:$BW,BW17,$AC:$AC)</f>
        <v>133.19999999999999</v>
      </c>
      <c r="CI17" s="228">
        <f ca="1">AVERAGEIFS($AC:$AC,$BW:$BW,BW17,$BX:$BX,BX17)</f>
        <v>133.19999999999999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1071.6666666666667</v>
      </c>
      <c r="CR17" s="228">
        <f ca="1">AVERAGEIFS($AF:$AF,$BW:$BW,BW17,$BX:$BX,BX17)</f>
        <v>1071.6666666666667</v>
      </c>
      <c r="CS17" s="1191">
        <v>1.3</v>
      </c>
      <c r="CT17" s="1191">
        <v>1.5</v>
      </c>
      <c r="CU17" s="1191">
        <f ca="1">AVERAGEIF($BW:$BW,$BW17,$AH:$AH)</f>
        <v>69.857142857142861</v>
      </c>
      <c r="CV17" s="228">
        <f ca="1">AVERAGEIFS($AH:$AH,$BW:$BW,$BW17,$BX:$BX,$BX17)</f>
        <v>69.857142857142861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4004.4</v>
      </c>
      <c r="DH17" s="1218">
        <f ca="1">AVERAGEIFS($AM:$AM,$BW:$BW,$BW17,$BX:$BX,$BX17)</f>
        <v>4004.4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4.6927344567114675</v>
      </c>
      <c r="ER17" s="1218">
        <f ca="1">AVERAGEIFS($BH:$BH,$BW:$BW,$BW17,$BX:$BX,$BX17)</f>
        <v>4.6927344567114675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7</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279</v>
      </c>
      <c r="AC18" s="224">
        <f>IF(ISNUMBER(Datos!Q18),Datos!Q18," - ")</f>
        <v>16</v>
      </c>
      <c r="AD18" s="224"/>
      <c r="AE18" s="224"/>
      <c r="AF18" s="224">
        <f>IF(ISNUMBER(Datos!L18),Datos!L18,"-")</f>
        <v>140</v>
      </c>
      <c r="AG18" s="333"/>
      <c r="AH18" s="224"/>
      <c r="AI18" s="224"/>
      <c r="AJ18" s="1214"/>
      <c r="AK18" s="333"/>
      <c r="AL18" s="478"/>
      <c r="AM18" s="1214">
        <f>IF(ISNUMBER(Datos!R18),Datos!R18," - ")</f>
        <v>26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48</v>
      </c>
      <c r="BD18" s="228">
        <f>IF(ISNUMBER(Datos!N18),Datos!N18," - ")</f>
        <v>209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0.95221843003412965</v>
      </c>
      <c r="BH18" s="1214">
        <f>IF(ISNUMBER(((IF(D_I="SI",Datos!L18/Datos!K18,(Datos!L18+Datos!AF18)/(Datos!K18+Datos!AE18)))*11)/factor_trimestre),((IF(D_I="SI",Datos!L18/Datos!K18,(Datos!L18+Datos!AF18)/(Datos!K18+Datos!AE18)))*11)/factor_trimestre," - ")</f>
        <v>1.5053763440860213</v>
      </c>
      <c r="BI18" s="242">
        <f>IF(ISNUMBER('Resol  Asuntos'!D18/NºAsuntos!G18),'Resol  Asuntos'!D18/NºAsuntos!G18," - ")</f>
        <v>0.17204301075268819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771.50495747136415</v>
      </c>
      <c r="CF18" s="228">
        <f ca="1">AVERAGEIFS($AB:$AB,$BW:$BW,BW18,$BX:$BX,BX18)</f>
        <v>771.50495747136415</v>
      </c>
      <c r="CG18" s="1191">
        <v>0.7</v>
      </c>
      <c r="CH18" s="1191">
        <f ca="1">AVERAGEIF($BW:$BW,BW18,$AC:$AC)</f>
        <v>133.19999999999999</v>
      </c>
      <c r="CI18" s="228">
        <f ca="1">AVERAGEIFS($AC:$AC,$BW:$BW,BW18,$BX:$BX,BX18)</f>
        <v>133.19999999999999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1071.6666666666667</v>
      </c>
      <c r="CR18" s="228">
        <f ca="1">AVERAGEIFS($AF:$AF,$BW:$BW,BW18,$BX:$BX,BX18)</f>
        <v>1071.6666666666667</v>
      </c>
      <c r="CS18" s="1191">
        <v>1.3</v>
      </c>
      <c r="CT18" s="1191">
        <v>1.5</v>
      </c>
      <c r="CU18" s="1191">
        <f ca="1">AVERAGEIF($BW:$BW,$BW18,$AH:$AH)</f>
        <v>69.857142857142861</v>
      </c>
      <c r="CV18" s="228">
        <f ca="1">AVERAGEIFS($AH:$AH,$BW:$BW,$BW18,$BX:$BX,$BX18)</f>
        <v>69.857142857142861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4004.4</v>
      </c>
      <c r="DH18" s="1218">
        <f ca="1">AVERAGEIFS($AM:$AM,$BW:$BW,$BW18,$BX:$BX,$BX18)</f>
        <v>4004.4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4.6927344567114675</v>
      </c>
      <c r="ER18" s="1218">
        <f ca="1">AVERAGEIFS($BH:$BH,$BW:$BW,$BW18,$BX:$BX,$BX18)</f>
        <v>4.6927344567114675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2699</v>
      </c>
      <c r="G19" s="895">
        <f>SUBTOTAL(9,G15:G18)</f>
        <v>2785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2179</v>
      </c>
      <c r="AC19" s="896">
        <f t="shared" si="5"/>
        <v>41</v>
      </c>
      <c r="AD19" s="896">
        <f t="shared" si="5"/>
        <v>0</v>
      </c>
      <c r="AE19" s="896">
        <f t="shared" si="5"/>
        <v>0</v>
      </c>
      <c r="AF19" s="896">
        <f t="shared" si="5"/>
        <v>3105</v>
      </c>
      <c r="AG19" s="896">
        <f t="shared" si="5"/>
        <v>0</v>
      </c>
      <c r="AH19" s="896">
        <f t="shared" si="5"/>
        <v>0</v>
      </c>
      <c r="AI19" s="896">
        <f t="shared" si="5"/>
        <v>0</v>
      </c>
      <c r="AJ19" s="896">
        <f t="shared" si="5"/>
        <v>0</v>
      </c>
      <c r="AK19" s="896">
        <f t="shared" si="5"/>
        <v>0</v>
      </c>
      <c r="AL19" s="896">
        <f t="shared" si="5"/>
        <v>0</v>
      </c>
      <c r="AM19" s="896">
        <f t="shared" si="5"/>
        <v>451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387</v>
      </c>
      <c r="BD19" s="896">
        <f t="shared" si="5"/>
        <v>1179</v>
      </c>
      <c r="BE19" s="896">
        <f t="shared" si="5"/>
        <v>0</v>
      </c>
      <c r="BF19" s="896">
        <f t="shared" si="5"/>
        <v>0</v>
      </c>
      <c r="BG19" s="896">
        <f>IF(ISNUMBER(Datos!K19/Datos!J19),Datos!K19/Datos!J19," - ")</f>
        <v>0.88613257421716141</v>
      </c>
      <c r="BH19" s="900">
        <f>IF(ISNUMBER(((Datos!L19/Datos!K19)*11)/factor_trimestre),((Datos!L19/Datos!K19)*11)/factor_trimestre," - ")</f>
        <v>4.2748967416245991</v>
      </c>
      <c r="BI19" s="896">
        <f>SUBTOTAL(9,BI15:BI18)</f>
        <v>0.35046406338426717</v>
      </c>
      <c r="BJ19" s="896">
        <f>SUBTOTAL(9,BJ15:BJ18)</f>
        <v>0</v>
      </c>
      <c r="BK19" s="896">
        <f>SUBTOTAL(9,BK15:BK18)</f>
        <v>0</v>
      </c>
      <c r="BL19" s="896">
        <f>IF(ISNUMBER((I19-AB19+L19)/(F19)),(I19-AB19+L19)/(F19)," - ")</f>
        <v>-0.807336050389033</v>
      </c>
      <c r="BM19" s="902">
        <f>IF(ISNUMBER((Datos!P19-Datos!Q19)/(Datos!R19-Datos!P19+Datos!Q19)),(Datos!P19-Datos!Q19)/(Datos!R19-Datos!P19+Datos!Q19)," - ")</f>
        <v>6.1176470588235297E-2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11</v>
      </c>
      <c r="F20" s="817">
        <f t="shared" si="7"/>
        <v>2824</v>
      </c>
      <c r="G20" s="817">
        <f t="shared" si="7"/>
        <v>2910</v>
      </c>
      <c r="H20" s="819">
        <f t="shared" si="7"/>
        <v>0</v>
      </c>
      <c r="I20" s="817">
        <f t="shared" si="7"/>
        <v>0</v>
      </c>
      <c r="J20" s="819">
        <f t="shared" si="7"/>
        <v>0</v>
      </c>
      <c r="K20" s="819">
        <f t="shared" si="7"/>
        <v>0</v>
      </c>
      <c r="L20" s="878">
        <f t="shared" si="7"/>
        <v>0</v>
      </c>
      <c r="M20" s="878">
        <f t="shared" si="7"/>
        <v>0</v>
      </c>
      <c r="N20" s="878">
        <f t="shared" si="7"/>
        <v>141</v>
      </c>
      <c r="O20" s="878">
        <f t="shared" si="7"/>
        <v>0</v>
      </c>
      <c r="P20" s="878">
        <f t="shared" si="7"/>
        <v>0</v>
      </c>
      <c r="Q20" s="819">
        <f t="shared" si="7"/>
        <v>907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2218</v>
      </c>
      <c r="AC20" s="818">
        <f t="shared" si="8"/>
        <v>444</v>
      </c>
      <c r="AD20" s="818">
        <f t="shared" si="8"/>
        <v>0</v>
      </c>
      <c r="AE20" s="818">
        <f t="shared" si="8"/>
        <v>0</v>
      </c>
      <c r="AF20" s="825">
        <f t="shared" si="8"/>
        <v>3215</v>
      </c>
      <c r="AG20" s="825">
        <f t="shared" si="8"/>
        <v>0</v>
      </c>
      <c r="AH20" s="825">
        <f t="shared" si="8"/>
        <v>163</v>
      </c>
      <c r="AI20" s="825">
        <f t="shared" si="8"/>
        <v>0</v>
      </c>
      <c r="AJ20" s="818">
        <f t="shared" si="8"/>
        <v>0</v>
      </c>
      <c r="AK20" s="825">
        <f t="shared" si="8"/>
        <v>0</v>
      </c>
      <c r="AL20" s="825">
        <f t="shared" si="8"/>
        <v>0</v>
      </c>
      <c r="AM20" s="825">
        <f t="shared" si="8"/>
        <v>13348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1048</v>
      </c>
      <c r="BD20" s="817">
        <f t="shared" si="8"/>
        <v>2171</v>
      </c>
      <c r="BE20" s="817">
        <f t="shared" si="8"/>
        <v>0</v>
      </c>
      <c r="BF20" s="827">
        <f t="shared" si="8"/>
        <v>0</v>
      </c>
      <c r="BG20" s="912">
        <f>IF(ISNUMBER(Datos!K20/Datos!J20),Datos!K20/Datos!J20," - ")</f>
        <v>0.98833262621977092</v>
      </c>
      <c r="BH20" s="912">
        <f>IF(ISNUMBER(((Datos!L20/Datos!K20)*11)/factor_trimestre),((Datos!L20/Datos!K20)*11)/factor_trimestre," - ")</f>
        <v>7.7347070186735349</v>
      </c>
      <c r="BI20" s="810">
        <f>IF(ISNUMBER(Datos!J20/Datos!I20),Datos!J20/Datos!I20," - ")</f>
        <v>0.39530398322851151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-0.78541076487252126</v>
      </c>
      <c r="BM20" s="886">
        <f>IF(ISNUMBER((Datos!P20-Datos!Q20+R20)/(Datos!R20-Datos!P20+Datos!Q20-R20)),(Datos!P20-Datos!Q20+R20)/(Datos!R20-Datos!P20+Datos!Q20-R20)," - ")</f>
        <v>3.5933255723709742E-2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2.485513584307633</v>
      </c>
      <c r="F22" s="550">
        <f>IF(ISNUMBER(STDEV(F8:F19)),STDEV(F8:F19),"-")</f>
        <v>1486.0995928940968</v>
      </c>
      <c r="G22" s="551">
        <f>IF(ISNUMBER(STDEV(G8:G19)),STDEV(G8:G19),"-")</f>
        <v>1422.5055360173471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1061.0495747136417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274.52990122510641</v>
      </c>
      <c r="BD22" s="550"/>
      <c r="BE22" s="550">
        <f>IF(ISNUMBER(STDEV(BE8:BE19)),STDEV(BE8:BE19),"-")</f>
        <v>0</v>
      </c>
      <c r="BF22" s="555">
        <f>IF(ISNUMBER(STDEV(BF8:BF19)),STDEV(BF8:BF19),"-")</f>
        <v>0</v>
      </c>
      <c r="BG22" s="772">
        <f>IF(ISNUMBER(STDEV(BG8:BG19)),STDEV(BG8:BG19),"-")</f>
        <v>0.28004879496829749</v>
      </c>
      <c r="BH22" s="773">
        <f>IF(ISNUMBER(STDEV(BH8:BH19)),STDEV(BH8:BH19),"-")</f>
        <v>3.7566513253985945</v>
      </c>
      <c r="BI22" s="248">
        <f>IF(ISNUMBER(STDEV(BI8:BI19)),STDEV(BI8:BI19),"-")</f>
        <v>8.31923034967679E-2</v>
      </c>
      <c r="BJ22" s="1415" t="str">
        <f>IF(ISNUMBER(BL22/BM22),BL22/BM22," - ")</f>
        <v xml:space="preserve"> - </v>
      </c>
      <c r="BK22" s="574"/>
      <c r="BL22" s="558">
        <f>IF(ISNUMBER(STDEV(BL8:BL19)),STDEV(BL8:BL19),"-")</f>
        <v>0.35025548019624653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wj3QfeOS4WZUShd+07MF7IOezK9N0D7C/x4Hl8Tii88ZT0FBxHuigFIZsZTjBOX4wU1+8ptgoqZs8kWBqB6Dg==" saltValue="FrdzjjQC4f1q9zg54x/7F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TORREVIEJA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0.25267584097859325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0.17866880059797702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e7vO03K8Ub8od2xDKS5G/X2oohFEeVvmVuIHZi90kd/InoG3RwLsdUJHfwzsmSh8PqpwtJzO8w9N8QaIt4e1A==" saltValue="m6jA46pZCA4wEe+ixe/lT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TORREVIEJA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bDvRCN8WXXcJCjrjH7dqgXBA3CRvNIiDMBUvwHl7Q3HNQetFK22zqh9kSbnJHInr+pskJbE5kLy5oajMCaoQg==" saltValue="jOVY9Zjq6O+cJVpdjdg6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TORREVIEJA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0.5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BhGVNV1bxaaMO7qBjt5K948+XTWy+y8Vtz8UZQK2i8iFLqZ77FavsC0dR/4w1VXSx1BEIdckenY6wYgI3GHtg==" saltValue="zReekSsQmmFJaJwT//UTj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TORREVIEJA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636</v>
      </c>
      <c r="E9" s="403">
        <f t="shared" ref="E9:E13" si="0">IF(ISNUMBER(D9/B9),D9/B9," - ")</f>
        <v>127.2</v>
      </c>
      <c r="F9" s="402">
        <f>IF(ISNUMBER(Datos!N9),Datos!N9," - ")</f>
        <v>986</v>
      </c>
      <c r="G9" s="403">
        <f t="shared" ref="G9:G13" si="1">IF(ISNUMBER(F9/B9),F9/B9," - ")</f>
        <v>197.2</v>
      </c>
      <c r="H9" s="402">
        <f>IF(ISNUMBER(Datos!O9),Datos!O9," - ")</f>
        <v>911</v>
      </c>
      <c r="I9" s="403">
        <f>IF(ISNUMBER(H9/B9),H9/B9," - ")</f>
        <v>182.2</v>
      </c>
      <c r="BZ9" s="1181">
        <f>Datos!EZ9</f>
        <v>0</v>
      </c>
    </row>
    <row r="10" spans="1:78">
      <c r="A10" s="401" t="str">
        <f>Datos!A10</f>
        <v>Sección De Violencia sobre la Mujer del TI</v>
      </c>
      <c r="B10" s="426">
        <f>Datos!AO10</f>
        <v>1</v>
      </c>
      <c r="C10" s="409">
        <f>Datos!AQ10</f>
        <v>1</v>
      </c>
      <c r="D10" s="402">
        <f>IF(ISNUMBER(Datos!M10),Datos!M10," - ")</f>
        <v>25</v>
      </c>
      <c r="E10" s="403">
        <f>IF(ISNUMBER(D10/B10),D10/B10," - ")</f>
        <v>25</v>
      </c>
      <c r="F10" s="402">
        <f>IF(ISNUMBER(Datos!N10),Datos!N10," - ")</f>
        <v>6</v>
      </c>
      <c r="G10" s="403">
        <f>IF(ISNUMBER(F10/B10),F10/B10," - ")</f>
        <v>6</v>
      </c>
      <c r="H10" s="402">
        <f>IF(ISNUMBER(Datos!O10),Datos!O10," - ")</f>
        <v>16</v>
      </c>
      <c r="I10" s="403">
        <f t="shared" ref="I10:I12" si="2">IF(ISNUMBER(H10/B10),H10/B10," - ")</f>
        <v>16</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v>
      </c>
      <c r="C13" s="848">
        <f>Datos!AR13</f>
        <v>6</v>
      </c>
      <c r="D13" s="846">
        <f>SUBTOTAL(9,D9:D12)</f>
        <v>661</v>
      </c>
      <c r="E13" s="847">
        <f t="shared" si="0"/>
        <v>110.16666666666667</v>
      </c>
      <c r="F13" s="846">
        <f>SUBTOTAL(9,F9:F12)</f>
        <v>992</v>
      </c>
      <c r="G13" s="847">
        <f t="shared" si="1"/>
        <v>165.33333333333334</v>
      </c>
      <c r="H13" s="846">
        <f>SUBTOTAL(9,H9:H12)</f>
        <v>927</v>
      </c>
      <c r="I13" s="847">
        <f>IF(ISNUMBER(H13/B13),H13/B13," - ")</f>
        <v>154.5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339</v>
      </c>
      <c r="E15" s="403">
        <f t="shared" ref="E15:E19" si="3">IF(ISNUMBER(D15/B15),D15/B15," - ")</f>
        <v>84.75</v>
      </c>
      <c r="F15" s="402">
        <f>IF(ISNUMBER(Datos!N15),Datos!N15," - ")</f>
        <v>970</v>
      </c>
      <c r="G15" s="403">
        <f t="shared" ref="G15:G19" si="4">IF(ISNUMBER(F15/B15),F15/B15," - ")</f>
        <v>242.5</v>
      </c>
      <c r="H15" s="402">
        <f>IF(ISNUMBER(Datos!O15),Datos!O15," - ")</f>
        <v>9</v>
      </c>
      <c r="I15" s="403">
        <f t="shared" ref="I15:I18" si="5">IF(ISNUMBER(H15/B15),H15/B15," - ")</f>
        <v>2.25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48</v>
      </c>
      <c r="E18" s="403">
        <f>IF(ISNUMBER(D18/B18),D18/B18," - ")</f>
        <v>48</v>
      </c>
      <c r="F18" s="402">
        <f>IF(ISNUMBER(Datos!N18),Datos!N18," - ")</f>
        <v>209</v>
      </c>
      <c r="G18" s="403">
        <f>IF(ISNUMBER(F18/B18),F18/B18," - ")</f>
        <v>209</v>
      </c>
      <c r="H18" s="402">
        <f>IF(ISNUMBER(Datos!O18),Datos!O18," - ")</f>
        <v>2</v>
      </c>
      <c r="I18" s="403">
        <f t="shared" si="5"/>
        <v>2</v>
      </c>
      <c r="BZ18" s="1181">
        <f>Datos!EZ18</f>
        <v>0</v>
      </c>
    </row>
    <row r="19" spans="1:78" ht="14.25" thickTop="1" thickBot="1">
      <c r="A19" s="845" t="str">
        <f>Datos!A19</f>
        <v>TOTAL</v>
      </c>
      <c r="B19" s="846">
        <f>Datos!AP19</f>
        <v>5</v>
      </c>
      <c r="C19" s="848">
        <f>Datos!AR19</f>
        <v>5</v>
      </c>
      <c r="D19" s="846">
        <f>SUBTOTAL(9,D15:D18)</f>
        <v>387</v>
      </c>
      <c r="E19" s="847">
        <f t="shared" si="3"/>
        <v>77.400000000000006</v>
      </c>
      <c r="F19" s="846">
        <f>SUBTOTAL(9,F15:F18)</f>
        <v>1179</v>
      </c>
      <c r="G19" s="847">
        <f t="shared" si="4"/>
        <v>235.8</v>
      </c>
      <c r="H19" s="846">
        <f>SUBTOTAL(9,H15:H18)</f>
        <v>11</v>
      </c>
      <c r="I19" s="847">
        <f>IF(ISNUMBER(H19/B19),H19/B19," - ")</f>
        <v>2.2000000000000002</v>
      </c>
      <c r="BZ19" s="1181"/>
    </row>
    <row r="20" spans="1:78" ht="14.25" thickTop="1" thickBot="1">
      <c r="A20" s="790" t="str">
        <f>Datos!A20</f>
        <v>TOTAL JURISDICCIONES</v>
      </c>
      <c r="B20" s="791">
        <f>Datos!AP20</f>
        <v>10</v>
      </c>
      <c r="C20" s="791">
        <f>Datos!AR20</f>
        <v>10</v>
      </c>
      <c r="D20" s="791">
        <f>SUBTOTAL(9,D8:D19)</f>
        <v>1048</v>
      </c>
      <c r="E20" s="792">
        <f>IF(ISNUMBER(D20/B20),D20/B20," - ")</f>
        <v>104.8</v>
      </c>
      <c r="F20" s="791">
        <f>SUBTOTAL(9,F8:F19)</f>
        <v>2171</v>
      </c>
      <c r="G20" s="792">
        <f>IF(ISNUMBER(F20/B20),F20/B20," - ")</f>
        <v>217.1</v>
      </c>
      <c r="H20" s="791">
        <f>SUBTOTAL(9,H8:H19)</f>
        <v>938</v>
      </c>
      <c r="I20" s="792">
        <f>IF(ISNUMBER(H20/B20),H20/B20," - ")</f>
        <v>93.8</v>
      </c>
    </row>
    <row r="23" spans="1:78">
      <c r="A23" s="390" t="str">
        <f>Criterios!A4</f>
        <v>Fecha Informe: 18 jun. 2026</v>
      </c>
    </row>
    <row r="28" spans="1:78">
      <c r="A28" s="413"/>
    </row>
  </sheetData>
  <sheetProtection algorithmName="SHA-512" hashValue="efxbUtKthLOq3fLOVBAqm8zXSP6YBcOoDgZ5g8vQTmm+hox4Z7r9Tejr2hTA1n+oFmzvoa4QIS2nI359j88LMw==" saltValue="V+dZoDJGUAHDHJG5VODC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TORREVIEJA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834</v>
      </c>
      <c r="C9" s="433">
        <f>IF(ISNUMBER(Datos!Q9),Datos!Q9," - ")</f>
        <v>395</v>
      </c>
      <c r="D9" s="407">
        <f>IF(ISNUMBER(Datos!R9),Datos!R9," - ")</f>
        <v>12822</v>
      </c>
    </row>
    <row r="10" spans="1:4">
      <c r="A10" s="401" t="str">
        <f>Datos!A10</f>
        <v>Sección De Violencia sobre la Mujer del TI</v>
      </c>
      <c r="B10" s="432">
        <f>IF(ISNUMBER(Datos!P10),Datos!P10," - ")</f>
        <v>6</v>
      </c>
      <c r="C10" s="433">
        <f>IF(ISNUMBER(Datos!Q10),Datos!Q10," - ")</f>
        <v>8</v>
      </c>
      <c r="D10" s="407">
        <f>IF(ISNUMBER(Datos!R10),Datos!R10," - ")</f>
        <v>75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840</v>
      </c>
      <c r="C13" s="850">
        <f>SUBTOTAL(9,C9:C12)</f>
        <v>403</v>
      </c>
      <c r="D13" s="848">
        <f>SUBTOTAL(9,D9:D12)</f>
        <v>12897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60</v>
      </c>
      <c r="C15" s="433">
        <f>IF(ISNUMBER(Datos!Q15),Datos!Q15," - ")</f>
        <v>25</v>
      </c>
      <c r="D15" s="407">
        <f>IF(ISNUMBER(Datos!R15),Datos!R15," - ")</f>
        <v>425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7</v>
      </c>
      <c r="C18" s="433">
        <f>IF(ISNUMBER(Datos!Q18),Datos!Q18," - ")</f>
        <v>16</v>
      </c>
      <c r="D18" s="407">
        <f>IF(ISNUMBER(Datos!R18),Datos!R18," - ")</f>
        <v>26</v>
      </c>
    </row>
    <row r="19" spans="1:4" ht="14.25" thickTop="1" thickBot="1">
      <c r="A19" s="845" t="str">
        <f>Datos!A19</f>
        <v>TOTAL</v>
      </c>
      <c r="B19" s="846">
        <f>SUBTOTAL(9,B15:B18)</f>
        <v>67</v>
      </c>
      <c r="C19" s="850">
        <f>SUBTOTAL(9,C15:C18)</f>
        <v>41</v>
      </c>
      <c r="D19" s="848">
        <f>SUBTOTAL(9,D15:D18)</f>
        <v>451</v>
      </c>
    </row>
    <row r="20" spans="1:4" ht="16.5" customHeight="1" thickTop="1" thickBot="1">
      <c r="A20" s="790" t="str">
        <f>Datos!A20</f>
        <v>TOTAL JURISDICCIONES</v>
      </c>
      <c r="B20" s="795">
        <f>SUBTOTAL(9,B8:B19)</f>
        <v>907</v>
      </c>
      <c r="C20" s="796">
        <f>SUBTOTAL(9,C8:C19)</f>
        <v>444</v>
      </c>
      <c r="D20" s="797">
        <f>SUBTOTAL(9,D8:D19)</f>
        <v>13348</v>
      </c>
    </row>
    <row r="21" spans="1:4" ht="7.5" customHeight="1"/>
    <row r="22" spans="1:4" ht="6" customHeight="1"/>
    <row r="23" spans="1:4">
      <c r="A23" s="390" t="str">
        <f>Criterios!A4</f>
        <v>Fecha Informe: 18 jun. 2026</v>
      </c>
    </row>
    <row r="28" spans="1:4">
      <c r="A28" s="413"/>
    </row>
  </sheetData>
  <sheetProtection algorithmName="SHA-512" hashValue="j9evt6rZbA1d5OkcAN+NwSFdgyxWWeLnn4pfh6P1gInrlWENxpktaVwBYF/0Mk+7VFXLnZmZ8zjfSzl2fM7+VA==" saltValue="6vZGnq7XvRa5wV2oy0/p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TORREVIEJA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0.10451535219747141</v>
      </c>
      <c r="C9" s="455">
        <f>IF(ISNUMBER(
   IF(J_V="SI",(Datos!J9-Datos!T9)/Datos!T9,(Datos!J9+Datos!Z9-(Datos!T9+Datos!AH9))/(Datos!T9+Datos!AH9))
     ),IF(J_V="SI",(Datos!J9-Datos!T9)/Datos!T9,(Datos!J9+Datos!Z9-(Datos!T9+Datos!AH9))/(Datos!T9+Datos!AH9))," - ")</f>
        <v>-0.44811540251279663</v>
      </c>
      <c r="D9" s="455">
        <f>IF(ISNUMBER(
   IF(J_V="SI",(Datos!K9-Datos!U9)/Datos!U9,(Datos!K9+Datos!AA9-(Datos!U9+Datos!AI9))/(Datos!U9+Datos!AI9))
     ),IF(J_V="SI",(Datos!K9-Datos!U9)/Datos!U9,(Datos!K9+Datos!AA9-(Datos!U9+Datos!AI9))/(Datos!U9+Datos!AI9))," - ")</f>
        <v>-6.0175054704595186E-2</v>
      </c>
      <c r="E9" s="455">
        <f>IF(ISNUMBER(
   IF(J_V="SI",(Datos!L9-Datos!V9)/Datos!V9,(Datos!L9+Datos!AB9-(Datos!V9+Datos!AJ9))/(Datos!V9+Datos!AJ9))
     ),IF(J_V="SI",(Datos!L9-Datos!V9)/Datos!V9,(Datos!L9+Datos!AB9-(Datos!V9+Datos!AJ9))/(Datos!V9+Datos!AJ9))," - ")</f>
        <v>-0.14364904902991493</v>
      </c>
      <c r="F9" s="455">
        <f>IF(ISNUMBER((Datos!M9-Datos!W9)/Datos!W9),(Datos!M9-Datos!W9)/Datos!W9," - ")</f>
        <v>3.2467532467532464E-2</v>
      </c>
      <c r="G9" s="456">
        <f>IF(ISNUMBER((Datos!N9-Datos!X9)/Datos!X9),(Datos!N9-Datos!X9)/Datos!X9," - ")</f>
        <v>-0.18444995864350702</v>
      </c>
      <c r="H9" s="454">
        <f>IF(ISNUMBER(((NºAsuntos!G9/NºAsuntos!E9)-Datos!BD9)/Datos!BD9),((NºAsuntos!G9/NºAsuntos!E9)-Datos!BD9)/Datos!BD9," - ")</f>
        <v>0.7029374430352654</v>
      </c>
      <c r="I9" s="455">
        <f>IF(ISNUMBER(((NºAsuntos!I9/NºAsuntos!G9)-Datos!BE9)/Datos!BE9),((NºAsuntos!I9/NºAsuntos!G9)-Datos!BE9)/Datos!BE9," - ")</f>
        <v>-8.8818662180840835E-2</v>
      </c>
      <c r="J9" s="460">
        <f>IF(ISNUMBER((('Resol  Asuntos'!D9/NºAsuntos!G9)-Datos!BF9)/Datos!BF9),(('Resol  Asuntos'!D9/NºAsuntos!G9)-Datos!BF9)/Datos!BF9," - ")</f>
        <v>-0.44026321794919943</v>
      </c>
      <c r="K9" s="461">
        <f>IF(ISNUMBER((((NºAsuntos!C9+NºAsuntos!E9)/NºAsuntos!G9)-Datos!BG9)/Datos!BG9),(((NºAsuntos!C9+NºAsuntos!E9)/NºAsuntos!G9)-Datos!BG9)/Datos!BG9," - ")</f>
        <v>-2.5295361333208203E-2</v>
      </c>
    </row>
    <row r="10" spans="1:11" ht="21">
      <c r="A10" s="401" t="str">
        <f>Datos!A10</f>
        <v>Sección De Violencia sobre la Mujer del TI</v>
      </c>
      <c r="B10" s="454">
        <f>IF(ISNUMBER((Datos!I10-Datos!S10)/Datos!S10),(Datos!I10-Datos!S10)/Datos!S10," - ")</f>
        <v>-0.13194444444444445</v>
      </c>
      <c r="C10" s="455">
        <f>IF(ISNUMBER((Datos!J10-Datos!T10)/Datos!T10),(Datos!J10-Datos!T10)/Datos!T10," - ")</f>
        <v>-0.22580645161290322</v>
      </c>
      <c r="D10" s="455">
        <f>IF(ISNUMBER((Datos!K10-Datos!U10)/Datos!U10),(Datos!K10-Datos!U10)/Datos!U10," - ")</f>
        <v>0.56000000000000005</v>
      </c>
      <c r="E10" s="455">
        <f>IF(ISNUMBER((Datos!L10-Datos!V10)/Datos!V10),(Datos!L10-Datos!V10)/Datos!V10," - ")</f>
        <v>-0.26666666666666666</v>
      </c>
      <c r="F10" s="455">
        <f>IF(ISNUMBER((Datos!M10-Datos!W10)/Datos!W10),(Datos!M10-Datos!W10)/Datos!W10," - ")</f>
        <v>0.19047619047619047</v>
      </c>
      <c r="G10" s="456">
        <f>IF(ISNUMBER((Datos!N10-Datos!X10)/Datos!X10),(Datos!N10-Datos!X10)/Datos!X10," - ")</f>
        <v>0.2</v>
      </c>
      <c r="H10" s="454">
        <f>IF(ISNUMBER(((NºAsuntos!G10/NºAsuntos!E10)-Datos!BD10)/Datos!BD10),((NºAsuntos!G10/NºAsuntos!E10)-Datos!BD10)/Datos!BD10," - ")</f>
        <v>1.0150000000000001</v>
      </c>
      <c r="I10" s="455">
        <f>IF(ISNUMBER(((NºAsuntos!I10/NºAsuntos!G10)-Datos!BE10)/Datos!BE10),((NºAsuntos!I10/NºAsuntos!G10)-Datos!BE10)/Datos!BE10," - ")</f>
        <v>-0.52991452991452992</v>
      </c>
      <c r="J10" s="460">
        <f>IF(ISNUMBER((('Resol  Asuntos'!D10/NºAsuntos!G10)-Datos!BF10)/Datos!BF10),(('Resol  Asuntos'!D10/NºAsuntos!G10)-Datos!BF10)/Datos!BF10," - ")</f>
        <v>-0.23687423687423678</v>
      </c>
      <c r="K10" s="461">
        <f>IF(ISNUMBER((((NºAsuntos!C10+NºAsuntos!E10)/NºAsuntos!G10)-Datos!BG10)/Datos!BG10),(((NºAsuntos!C10+NºAsuntos!E10)/NºAsuntos!G10)-Datos!BG10)/Datos!BG10," - ")</f>
        <v>-0.45421245421245421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0.10048526452834655</v>
      </c>
      <c r="C13" s="852">
        <f>IF(ISNUMBER(
   IF(J_V="SI",(Datos!J13-Datos!T13)/Datos!T13,(Datos!J13+Datos!Z13-(Datos!T13+Datos!AH13))/(Datos!T13+Datos!AH13))
     ),IF(J_V="SI",(Datos!J13-Datos!T13)/Datos!T13,(Datos!J13+Datos!Z13-(Datos!T13+Datos!AH13))/(Datos!T13+Datos!AH13))," - ")</f>
        <v>-0.4465234465234465</v>
      </c>
      <c r="D13" s="852">
        <f>IF(ISNUMBER(
   IF(J_V="SI",(Datos!K13-Datos!U13)/Datos!U13,(Datos!K13+Datos!AA13-(Datos!U13+Datos!AI13))/(Datos!U13+Datos!AI13))
     ),IF(J_V="SI",(Datos!K13-Datos!U13)/Datos!U13,(Datos!K13+Datos!AA13-(Datos!U13+Datos!AI13))/(Datos!U13+Datos!AI13))," - ")</f>
        <v>-5.4571738344777736E-2</v>
      </c>
      <c r="E13" s="852">
        <f>IF(ISNUMBER(
   IF(J_V="SI",(Datos!L13-Datos!V13)/Datos!V13,(Datos!L13+Datos!AB13-(Datos!V13+Datos!AJ13))/(Datos!V13+Datos!AJ13))
     ),IF(J_V="SI",(Datos!L13-Datos!V13)/Datos!V13,(Datos!L13+Datos!AB13-(Datos!V13+Datos!AJ13))/(Datos!V13+Datos!AJ13))," - ")</f>
        <v>-0.14538773202675964</v>
      </c>
      <c r="F13" s="853">
        <f>IF(ISNUMBER((Datos!M13-Datos!W13)/Datos!W13),(Datos!M13-Datos!W13)/Datos!W13," - ")</f>
        <v>3.7676609105180531E-2</v>
      </c>
      <c r="G13" s="854">
        <f>IF(ISNUMBER((Datos!N13-Datos!X13)/Datos!X13),(Datos!N13-Datos!X13)/Datos!X13," - ")</f>
        <v>-0.18286655683690281</v>
      </c>
      <c r="H13" s="854">
        <f>IF(ISNUMBER(((NºAsuntos!G13/NºAsuntos!E13)-Datos!BD13)/Datos!BD13),((NºAsuntos!G13/NºAsuntos!E13)-Datos!BD13)/Datos!BD13," - ")</f>
        <v>0.70816316556989056</v>
      </c>
      <c r="I13" s="854">
        <f>IF(ISNUMBER(((NºAsuntos!I13/NºAsuntos!G13)-Datos!BE13)/Datos!BE13),((NºAsuntos!I13/NºAsuntos!G13)-Datos!BE13)/Datos!BE13," - ")</f>
        <v>-9.6058048363166573E-2</v>
      </c>
      <c r="J13" s="854">
        <f>IF(ISNUMBER((('Resol  Asuntos'!D13/NºAsuntos!G13)-Datos!BF13)/Datos!BF13),(('Resol  Asuntos'!D13/NºAsuntos!G13)-Datos!BF13)/Datos!BF13," - ")</f>
        <v>-0.43158207155466055</v>
      </c>
      <c r="K13" s="854">
        <f>IF(ISNUMBER((((NºAsuntos!C13+NºAsuntos!E13)/NºAsuntos!G13)-Datos!BG13)/Datos!BG13),(((NºAsuntos!C13+NºAsuntos!E13)/NºAsuntos!G13)-Datos!BG13)/Datos!BG13," - ")</f>
        <v>-3.2008318483172891E-2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0.31845238095238093</v>
      </c>
      <c r="C15" s="455">
        <f>IF(ISNUMBER(
   IF(D_I="SI",(Datos!J15-Datos!T15)/Datos!T15,(Datos!J15+Datos!AD15-(Datos!T15+Datos!AL15))/(Datos!T15+Datos!AL15))
     ),IF(D_I="SI",(Datos!J15-Datos!T15)/Datos!T15,(Datos!J15+Datos!AD15-(Datos!T15+Datos!AL15))/(Datos!T15+Datos!AL15))," - ")</f>
        <v>-0.13739545997610514</v>
      </c>
      <c r="D15" s="455">
        <f>IF(ISNUMBER(
   IF(D_I="SI",(Datos!K15-Datos!U15)/Datos!U15,(Datos!K15+Datos!AE15-(Datos!U15+Datos!AM15))/(Datos!U15+Datos!AM15))
     ),IF(D_I="SI",(Datos!K15-Datos!U15)/Datos!U15,(Datos!K15+Datos!AE15-(Datos!U15+Datos!AM15))/(Datos!U15+Datos!AM15))," - ")</f>
        <v>-0.16849015317286653</v>
      </c>
      <c r="E15" s="455">
        <f>IF(ISNUMBER(
   IF(D_I="SI",(Datos!L15-Datos!V15)/Datos!V15,(Datos!L15+Datos!AF15-(Datos!V15+Datos!AN15))/(Datos!V15+Datos!AN15))
     ),IF(D_I="SI",(Datos!L15-Datos!V15)/Datos!V15,(Datos!L15+Datos!AF15-(Datos!V15+Datos!AN15))/(Datos!V15+Datos!AN15))," - ")</f>
        <v>0.27089584226318048</v>
      </c>
      <c r="F15" s="455">
        <f>IF(ISNUMBER((Datos!M15-Datos!W15)/Datos!W15),(Datos!M15-Datos!W15)/Datos!W15," - ")</f>
        <v>-0.12176165803108809</v>
      </c>
      <c r="G15" s="456">
        <f>IF(ISNUMBER((Datos!N15-Datos!X15)/Datos!X15),(Datos!N15-Datos!X15)/Datos!X15," - ")</f>
        <v>-0.23015873015873015</v>
      </c>
      <c r="H15" s="454">
        <f>IF(ISNUMBER(((NºAsuntos!G15/NºAsuntos!E15)-Datos!BD15)/Datos!BD15),((NºAsuntos!G15/NºAsuntos!E15)-Datos!BD15)/Datos!BD15," - ")</f>
        <v>-3.604744903835088E-2</v>
      </c>
      <c r="I15" s="455">
        <f>IF(ISNUMBER(((NºAsuntos!I15/NºAsuntos!G15)-Datos!BE15)/Datos!BE15),((NºAsuntos!I15/NºAsuntos!G15)-Datos!BE15)/Datos!BE15," - ")</f>
        <v>0.5284194734586144</v>
      </c>
      <c r="J15" s="460">
        <f>IF(ISNUMBER((('Resol  Asuntos'!D15/NºAsuntos!G15)-Datos!BF15)/Datos!BF15),(('Resol  Asuntos'!D15/NºAsuntos!G15)-Datos!BF15)/Datos!BF15," - ")</f>
        <v>5.6197163894191521E-2</v>
      </c>
      <c r="K15" s="461">
        <f>IF(ISNUMBER((((NºAsuntos!C15+NºAsuntos!E15)/NºAsuntos!G15)-Datos!BG15)/Datos!BG15),(((NºAsuntos!C15+NºAsuntos!E15)/NºAsuntos!G15)-Datos!BG15)/Datos!BG15," - ")</f>
        <v>0.28153186146280218</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-0.15894039735099338</v>
      </c>
      <c r="C18" s="455">
        <f>IF(ISNUMBER(
   IF(D_I="SI",(Datos!J18-Datos!T18)/Datos!T18,(Datos!J18+Datos!AD18-(Datos!T18+Datos!AL18))/(Datos!T18+Datos!AL18))
     ),IF(D_I="SI",(Datos!J18-Datos!T18)/Datos!T18,(Datos!J18+Datos!AD18-(Datos!T18+Datos!AL18))/(Datos!T18+Datos!AL18))," - ")</f>
        <v>0.46500000000000002</v>
      </c>
      <c r="D18" s="455">
        <f>IF(ISNUMBER(
   IF(D_I="SI",(Datos!K18-Datos!U18)/Datos!U18,(Datos!K18+Datos!AE18-(Datos!U18+Datos!AM18))/(Datos!U18+Datos!AM18))
     ),IF(D_I="SI",(Datos!K18-Datos!U18)/Datos!U18,(Datos!K18+Datos!AE18-(Datos!U18+Datos!AM18))/(Datos!U18+Datos!AM18))," - ")</f>
        <v>-4.1237113402061855E-2</v>
      </c>
      <c r="E18" s="455">
        <f>IF(ISNUMBER(
   IF(D_I="SI",(Datos!L18-Datos!V18)/Datos!V18,(Datos!L18+Datos!AF18-(Datos!V18+Datos!AN18))/(Datos!V18+Datos!AN18))
     ),IF(D_I="SI",(Datos!L18-Datos!V18)/Datos!V18,(Datos!L18+Datos!AF18-(Datos!V18+Datos!AN18))/(Datos!V18+Datos!AN18))," - ")</f>
        <v>1.3333333333333333</v>
      </c>
      <c r="F18" s="455">
        <f>IF(ISNUMBER((Datos!M18-Datos!W18)/Datos!W18),(Datos!M18-Datos!W18)/Datos!W18," - ")</f>
        <v>-0.40740740740740738</v>
      </c>
      <c r="G18" s="456">
        <f>IF(ISNUMBER((Datos!N18-Datos!X18)/Datos!X18),(Datos!N18-Datos!X18)/Datos!X18," - ")</f>
        <v>0</v>
      </c>
      <c r="H18" s="454">
        <f>IF(ISNUMBER(((NºAsuntos!G18/NºAsuntos!E18)-Datos!BD18)/Datos!BD18),((NºAsuntos!G18/NºAsuntos!E18)-Datos!BD18)/Datos!BD18," - ")</f>
        <v>-0.34555434361915494</v>
      </c>
      <c r="I18" s="455">
        <f>IF(ISNUMBER(((NºAsuntos!I18/NºAsuntos!G18)-Datos!BE18)/Datos!BE18),((NºAsuntos!I18/NºAsuntos!G18)-Datos!BE18)/Datos!BE18," - ")</f>
        <v>1.4336917562724014</v>
      </c>
      <c r="J18" s="460">
        <f>IF(ISNUMBER((('Resol  Asuntos'!D18/NºAsuntos!G18)-Datos!BF18)/Datos!BF18),(('Resol  Asuntos'!D18/NºAsuntos!G18)-Datos!BF18)/Datos!BF18," - ")</f>
        <v>-0.38191955396256466</v>
      </c>
      <c r="K18" s="461">
        <f>IF(ISNUMBER((((NºAsuntos!C18+NºAsuntos!E18)/NºAsuntos!G18)-Datos!BG18)/Datos!BG18),(((NºAsuntos!C18+NºAsuntos!E18)/NºAsuntos!G18)-Datos!BG18)/Datos!BG18," - ")</f>
        <v>0.24804705449866746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0.28518689432395017</v>
      </c>
      <c r="C19" s="852">
        <f>IF(ISNUMBER(
   IF(Criterios!B14="SI",(Datos!J19-Datos!T19)/Datos!T19,(Datos!J19+Datos!AD19-(Datos!T19+Datos!AL19))/(Datos!T19+Datos!AL19))
     ),IF(Criterios!B14="SI",(Datos!J19-Datos!T19)/Datos!T19,(Datos!J19+Datos!AD19-(Datos!T19+Datos!AL19))/(Datos!T19+Datos!AL19))," - ")</f>
        <v>-9.295462928808558E-2</v>
      </c>
      <c r="D19" s="852">
        <f>IF(ISNUMBER(
   IF(Criterios!B14="SI",(Datos!K19-Datos!U19)/Datos!U19,(Datos!K19+Datos!AE19-(Datos!U19+Datos!AM19))/(Datos!U19+Datos!AM19))
     ),IF(Criterios!B14="SI",(Datos!K19-Datos!U19)/Datos!U19,(Datos!K19+Datos!AE19-(Datos!U19+Datos!AM19))/(Datos!U19+Datos!AM19))," - ")</f>
        <v>-0.15411490683229814</v>
      </c>
      <c r="E19" s="852">
        <f>IF(ISNUMBER(
   IF(Criterios!B14="SI",(Datos!L19-Datos!V19)/Datos!V19,(Datos!L19+Datos!AF19-(Datos!V19+Datos!AN19))/(Datos!V19+Datos!AN19))
     ),IF(Criterios!B14="SI",(Datos!L19-Datos!V19)/Datos!V19,(Datos!L19+Datos!AF19-(Datos!V19+Datos!AN19))/(Datos!V19+Datos!AN19))," - ")</f>
        <v>0.29753447555369827</v>
      </c>
      <c r="F19" s="853">
        <f>IF(ISNUMBER((Datos!M19-Datos!W19)/Datos!W19),(Datos!M19-Datos!W19)/Datos!W19," - ")</f>
        <v>-0.17130620985010706</v>
      </c>
      <c r="G19" s="854">
        <f>IF(ISNUMBER((Datos!N19-Datos!X19)/Datos!X19),(Datos!N19-Datos!X19)/Datos!X19," - ")</f>
        <v>-0.19741320626276379</v>
      </c>
      <c r="H19" s="854">
        <f>IF(ISNUMBER(((NºAsuntos!G19/NºAsuntos!E19)-Datos!BD19)/Datos!BD19),((NºAsuntos!G19/NºAsuntos!E19)-Datos!BD19)/Datos!BD19," - ")</f>
        <v>-6.7428024571923734E-2</v>
      </c>
      <c r="I19" s="854">
        <f>IF(ISNUMBER(((NºAsuntos!I19/NºAsuntos!G19)-Datos!BE19)/Datos!BE19),((NºAsuntos!I19/NºAsuntos!G19)-Datos!BE19)/Datos!BE19," - ")</f>
        <v>0.53393703947972782</v>
      </c>
      <c r="J19" s="854">
        <f>IF(ISNUMBER((('Resol  Asuntos'!D19/NºAsuntos!G19)-Datos!BF19)/Datos!BF19),(('Resol  Asuntos'!D19/NºAsuntos!G19)-Datos!BF19)/Datos!BF19," - ")</f>
        <v>-2.0323449552031005E-2</v>
      </c>
      <c r="K19" s="854">
        <f>IF(ISNUMBER((((NºAsuntos!C19+NºAsuntos!E19)/NºAsuntos!G19)-Datos!BG19)/Datos!BG19),(((NºAsuntos!C19+NºAsuntos!E19)/NºAsuntos!G19)-Datos!BG19)/Datos!BG19," - ")</f>
        <v>0.27089454464989804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0.13818764129615674</v>
      </c>
      <c r="C20" s="799">
        <f>IF(ISNUMBER(
   IF(J_V="SI",(Datos!J20-Datos!T20)/Datos!T20,(Datos!J20+Datos!Z20-(Datos!T20+Datos!AH20))/(Datos!T20+Datos!AH20))
     ),IF(J_V="SI",(Datos!J20-Datos!T20)/Datos!T20,(Datos!J20+Datos!Z20-(Datos!T20+Datos!AH20))/(Datos!T20+Datos!AH20))," - ")</f>
        <v>-0.31036931818181818</v>
      </c>
      <c r="D20" s="799">
        <f>IF(ISNUMBER(
   IF(J_V="SI",(Datos!K20-Datos!U20)/Datos!U20,(Datos!K20+Datos!AA20-(Datos!U20+Datos!AI20))/(Datos!U20+Datos!AI20))
     ),IF(J_V="SI",(Datos!K20-Datos!U20)/Datos!U20,(Datos!K20+Datos!AA20-(Datos!U20+Datos!AI20))/(Datos!U20+Datos!AI20))," - ")</f>
        <v>-0.10256410256410256</v>
      </c>
      <c r="E20" s="799">
        <f>IF(ISNUMBER(
   IF(J_V="SI",(Datos!L20-Datos!V20)/Datos!V20,(Datos!L20+Datos!AB20-(Datos!V20+Datos!AJ20))/(Datos!V20+Datos!AJ20))
     ),IF(J_V="SI",(Datos!L20-Datos!V20)/Datos!V20,(Datos!L20+Datos!AB20-(Datos!V20+Datos!AJ20))/(Datos!V20+Datos!AJ20))," - ")</f>
        <v>-6.3893587574965396E-2</v>
      </c>
      <c r="F20" s="800">
        <f>IF(ISNUMBER((Datos!M20-Datos!W20)/Datos!W20),(Datos!M20-Datos!W20)/Datos!W20," - ")</f>
        <v>-5.0724637681159424E-2</v>
      </c>
      <c r="G20" s="801">
        <f>IF(ISNUMBER((Datos!N20-Datos!X20)/Datos!X20),(Datos!N20-Datos!X20)/Datos!X20," - ")</f>
        <v>-0.19083115915020499</v>
      </c>
      <c r="H20" s="802">
        <f>IF(ISNUMBER((Tasas!B20-Datos!BD20)/Datos!BD20),(Tasas!B20-Datos!BD20)/Datos!BD20," - ")</f>
        <v>0.30132826322321699</v>
      </c>
      <c r="I20" s="803">
        <f>IF(ISNUMBER((Tasas!C20-Datos!BE20)/Datos!BE20),(Tasas!C20-Datos!BE20)/Datos!BE20," - ")</f>
        <v>4.3090002416467044E-2</v>
      </c>
      <c r="J20" s="804">
        <f>IF(ISNUMBER((Tasas!D20-Datos!BF20)/Datos!BF20),(Tasas!D20-Datos!BF20)/Datos!BF20," - ")</f>
        <v>-0.31186126778348344</v>
      </c>
      <c r="K20" s="804">
        <f>IF(ISNUMBER((Tasas!E20-Datos!BG20)/Datos!BG20),(Tasas!E20-Datos!BG20)/Datos!BG20," - ")</f>
        <v>6.8972101754158813E-2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T5DTA81h/CeyPfnFaOXtKkTzFt6S4IBHKjgC+5p223hH7Vbu/kbWRODJuW2rj5NGC2ET3ihcFjvpQmkH8IxhQ==" saltValue="VdasOPy2KNYZ3kN4xDxvx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TORREVIEJA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1.086424957841484</v>
      </c>
      <c r="C9" s="442">
        <f>IF(ISNUMBER(NºAsuntos!I9/NºAsuntos!G9),NºAsuntos!I9/NºAsuntos!G9," - ")</f>
        <v>3.4769111369809855</v>
      </c>
      <c r="D9" s="443">
        <f>IF(ISNUMBER('Resol  Asuntos'!D9/NºAsuntos!G9),'Resol  Asuntos'!D9/NºAsuntos!G9," - ")</f>
        <v>0.24679860302677531</v>
      </c>
      <c r="E9" s="444">
        <f>IF(ISNUMBER((NºAsuntos!C9+NºAsuntos!E9)/NºAsuntos!G9),(NºAsuntos!C9+NºAsuntos!E9)/NºAsuntos!G9," - ")</f>
        <v>4.4800155219247184</v>
      </c>
      <c r="G9" s="462"/>
    </row>
    <row r="10" spans="1:7" ht="21">
      <c r="A10" s="401" t="str">
        <f>Datos!A10</f>
        <v>Sección De Violencia sobre la Mujer del TI</v>
      </c>
      <c r="B10" s="441">
        <f>IF(ISNUMBER(NºAsuntos!G10/NºAsuntos!E10),NºAsuntos!G10/NºAsuntos!E10," - ")</f>
        <v>1.625</v>
      </c>
      <c r="C10" s="442">
        <f>IF(ISNUMBER(NºAsuntos!I10/NºAsuntos!G10),NºAsuntos!I10/NºAsuntos!G10," - ")</f>
        <v>2.8205128205128207</v>
      </c>
      <c r="D10" s="443">
        <f>IF(ISNUMBER('Resol  Asuntos'!D10/NºAsuntos!G10),'Resol  Asuntos'!D10/NºAsuntos!G10," - ")</f>
        <v>0.64102564102564108</v>
      </c>
      <c r="E10" s="444">
        <f>IF(ISNUMBER((NºAsuntos!C10+NºAsuntos!E10)/NºAsuntos!G10),(NºAsuntos!C10+NºAsuntos!E10)/NºAsuntos!G10," - ")</f>
        <v>3.8205128205128207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1.0918196994991654</v>
      </c>
      <c r="C13" s="856">
        <f>IF(ISNUMBER(NºAsuntos!I13/NºAsuntos!G13),NºAsuntos!I13/NºAsuntos!G13," - ")</f>
        <v>3.467125382262997</v>
      </c>
      <c r="D13" s="857">
        <f>IF(ISNUMBER('Resol  Asuntos'!D13/NºAsuntos!G13),'Resol  Asuntos'!D13/NºAsuntos!G13," - ")</f>
        <v>0.25267584097859325</v>
      </c>
      <c r="E13" s="858">
        <f>IF(ISNUMBER((NºAsuntos!C13+NºAsuntos!E13)/NºAsuntos!G13),(NºAsuntos!C13+NºAsuntos!E13)/NºAsuntos!G13," - ")</f>
        <v>4.4701834862385317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0.8771929824561403</v>
      </c>
      <c r="C15" s="442">
        <f>IF(ISNUMBER(NºAsuntos!I15/NºAsuntos!G15),NºAsuntos!I15/NºAsuntos!G15," - ")</f>
        <v>1.5605263157894738</v>
      </c>
      <c r="D15" s="443">
        <f>IF(ISNUMBER('Resol  Asuntos'!D15/NºAsuntos!G15),'Resol  Asuntos'!D15/NºAsuntos!G15," - ")</f>
        <v>0.17842105263157895</v>
      </c>
      <c r="E15" s="444">
        <f>IF(ISNUMBER((NºAsuntos!C15+NºAsuntos!E15)/NºAsuntos!G15),(NºAsuntos!C15+NºAsuntos!E15)/NºAsuntos!G15," - ")</f>
        <v>2.5389473684210526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0.95221843003412965</v>
      </c>
      <c r="C18" s="442">
        <f>IF(ISNUMBER(NºAsuntos!I18/NºAsuntos!G18),NºAsuntos!I18/NºAsuntos!G18," - ")</f>
        <v>0.50179211469534046</v>
      </c>
      <c r="D18" s="443">
        <f>IF(ISNUMBER('Resol  Asuntos'!D18/NºAsuntos!G18),'Resol  Asuntos'!D18/NºAsuntos!G18," - ")</f>
        <v>0.17204301075268819</v>
      </c>
      <c r="E18" s="444">
        <f>IF(ISNUMBER((NºAsuntos!C18+NºAsuntos!E18)/NºAsuntos!G18),(NºAsuntos!C18+NºAsuntos!E18)/NºAsuntos!G18," - ")</f>
        <v>1.5053763440860215</v>
      </c>
      <c r="G18" s="462"/>
    </row>
    <row r="19" spans="1:7" ht="14.25" thickTop="1" thickBot="1">
      <c r="A19" s="845" t="str">
        <f>Datos!A19</f>
        <v>TOTAL</v>
      </c>
      <c r="B19" s="855">
        <f>IF(ISNUMBER(NºAsuntos!G19/NºAsuntos!E19),NºAsuntos!G19/NºAsuntos!E19," - ")</f>
        <v>0.88613257421716141</v>
      </c>
      <c r="C19" s="856">
        <f>IF(ISNUMBER(NºAsuntos!I19/NºAsuntos!G19),NºAsuntos!I19/NºAsuntos!G19," - ")</f>
        <v>1.4249655805415329</v>
      </c>
      <c r="D19" s="859">
        <f>IF(ISNUMBER('Resol  Asuntos'!D19/NºAsuntos!G19),'Resol  Asuntos'!D19/NºAsuntos!G19," - ")</f>
        <v>0.17760440569068381</v>
      </c>
      <c r="E19" s="858">
        <f>IF(ISNUMBER((NºAsuntos!C19+NºAsuntos!E19)/NºAsuntos!G19),(NºAsuntos!C19+NºAsuntos!E19)/NºAsuntos!G19," - ")</f>
        <v>2.4066085360256997</v>
      </c>
      <c r="G19" s="462"/>
    </row>
    <row r="20" spans="1:7" ht="15.75" customHeight="1" thickTop="1" thickBot="1">
      <c r="A20" s="790" t="str">
        <f>Datos!A20</f>
        <v>TOTAL JURISDICCIONES</v>
      </c>
      <c r="B20" s="805">
        <f>IF(ISNUMBER(NºAsuntos!G20/NºAsuntos!E20),NºAsuntos!G20/NºAsuntos!E20," - ")</f>
        <v>0.9876416065911432</v>
      </c>
      <c r="C20" s="806">
        <f>IF(ISNUMBER(NºAsuntos!I20/NºAsuntos!G20),NºAsuntos!I20/NºAsuntos!G20," - ")</f>
        <v>2.5391032325338894</v>
      </c>
      <c r="D20" s="807">
        <f>IF(ISNUMBER('Resol  Asuntos'!D20/NºAsuntos!G20),'Resol  Asuntos'!D20/NºAsuntos!G20," - ")</f>
        <v>0.21856100104275286</v>
      </c>
      <c r="E20" s="808">
        <f>IF(ISNUMBER((NºAsuntos!C20+NºAsuntos!E20)/NºAsuntos!G20),(NºAsuntos!C20+NºAsuntos!E20)/NºAsuntos!G20," - ")</f>
        <v>3.5324296141814391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ZOL0l7lJx0/ao8u999JTiF1RrM7Zk37GkTi4SuGfRSIby3Ol9XhorHitmLF68Nl2flPI1sW09UQMlz4k4lzKw==" saltValue="KIbQAfeouu8HTmDnmdojX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TORREVIEJA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834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395</v>
      </c>
      <c r="Y9" s="333">
        <f>SUM(W9:X9)</f>
        <v>395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12822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636</v>
      </c>
      <c r="AJ9" s="228" t="str">
        <f>IF(ISNUMBER(Datos!BW9),Datos!BW9," - ")</f>
        <v xml:space="preserve"> - </v>
      </c>
      <c r="AK9" s="227" t="str">
        <f>IF(ISNUMBER(Datos!BX9),Datos!BX9," - ")</f>
        <v xml:space="preserve"> - </v>
      </c>
      <c r="AL9" s="242">
        <f>IF(ISNUMBER(NºAsuntos!G9/NºAsuntos!E9),NºAsuntos!G9/NºAsuntos!E9," - ")</f>
        <v>1.086424957841484</v>
      </c>
      <c r="AM9" s="259">
        <f>IF(ISNUMBER(((NºAsuntos!I9/NºAsuntos!G9)*11)/factor_trimestre),((NºAsuntos!I9/NºAsuntos!G9)*11)/factor_trimestre," - ")</f>
        <v>10.430733410942958</v>
      </c>
      <c r="AN9" s="243">
        <f>IF(ISNUMBER('Resol  Asuntos'!D9/NºAsuntos!G9),'Resol  Asuntos'!D9/NºAsuntos!G9," - ")</f>
        <v>0.24679860302677531</v>
      </c>
      <c r="AO9" s="244">
        <f>IF(ISNUMBER((NºAsuntos!C9+NºAsuntos!E9)/NºAsuntos!G9),(NºAsuntos!C9+NºAsuntos!E9)/NºAsuntos!G9," - ")</f>
        <v>4.4800155219247184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125</v>
      </c>
      <c r="G10" s="332">
        <f>IF(ISNUMBER(Datos!I10),Datos!I10," - ")</f>
        <v>125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8</v>
      </c>
      <c r="Y10" s="333">
        <f t="shared" ref="Y10:Y12" si="0">SUM(W10:X10)</f>
        <v>47</v>
      </c>
      <c r="Z10" s="334" t="str">
        <f>IF(ISNUMBER(Datos!CC10),Datos!CC10," - ")</f>
        <v xml:space="preserve"> - </v>
      </c>
      <c r="AA10" s="331">
        <f>IF(ISNUMBER(Datos!L10),Datos!L10,"-")</f>
        <v>110</v>
      </c>
      <c r="AB10" s="333">
        <f>IF(ISNUMBER(Datos!R10),Datos!R10," - ")</f>
        <v>75</v>
      </c>
      <c r="AC10" s="333">
        <f t="shared" ref="AC10:AC12" si="1">IF(ISNUMBER(AA10+AB10),AA10+AB10," - ")</f>
        <v>185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1.625</v>
      </c>
      <c r="AM10" s="259">
        <f>IF(ISNUMBER(((NºAsuntos!I10/NºAsuntos!G10)*11)/factor_trimestre),((NºAsuntos!I10/NºAsuntos!G10)*11)/factor_trimestre," - ")</f>
        <v>8.4615384615384635</v>
      </c>
      <c r="AN10" s="243">
        <f>IF(ISNUMBER('Resol  Asuntos'!D10/NºAsuntos!G10),'Resol  Asuntos'!D10/NºAsuntos!G10," - ")</f>
        <v>0.64102564102564108</v>
      </c>
      <c r="AO10" s="244">
        <f>IF(ISNUMBER((NºAsuntos!C10+NºAsuntos!E10)/NºAsuntos!G10),(NºAsuntos!C10+NºAsuntos!E10)/NºAsuntos!G10," - ")</f>
        <v>3.8205128205128207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125</v>
      </c>
      <c r="G13" s="863">
        <f t="shared" si="3"/>
        <v>125</v>
      </c>
      <c r="H13" s="862">
        <f t="shared" si="3"/>
        <v>0</v>
      </c>
      <c r="I13" s="864">
        <f t="shared" si="3"/>
        <v>0</v>
      </c>
      <c r="J13" s="864">
        <f t="shared" si="3"/>
        <v>0</v>
      </c>
      <c r="K13" s="864">
        <f t="shared" si="3"/>
        <v>0</v>
      </c>
      <c r="L13" s="864">
        <f t="shared" si="3"/>
        <v>840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39</v>
      </c>
      <c r="X13" s="864">
        <f t="shared" si="4"/>
        <v>403</v>
      </c>
      <c r="Y13" s="865">
        <f t="shared" si="4"/>
        <v>442</v>
      </c>
      <c r="Z13" s="865">
        <f t="shared" si="4"/>
        <v>0</v>
      </c>
      <c r="AA13" s="865">
        <f t="shared" si="4"/>
        <v>110</v>
      </c>
      <c r="AB13" s="865">
        <f t="shared" si="4"/>
        <v>12897</v>
      </c>
      <c r="AC13" s="865">
        <f t="shared" si="4"/>
        <v>185</v>
      </c>
      <c r="AD13" s="865">
        <f t="shared" si="4"/>
        <v>0</v>
      </c>
      <c r="AE13" s="869">
        <f t="shared" si="4"/>
        <v>0</v>
      </c>
      <c r="AF13" s="862">
        <f t="shared" si="4"/>
        <v>0</v>
      </c>
      <c r="AG13" s="870">
        <f t="shared" si="4"/>
        <v>0</v>
      </c>
      <c r="AH13" s="867">
        <f t="shared" si="4"/>
        <v>0</v>
      </c>
      <c r="AI13" s="862">
        <f t="shared" si="4"/>
        <v>661</v>
      </c>
      <c r="AJ13" s="864">
        <f t="shared" si="4"/>
        <v>0</v>
      </c>
      <c r="AK13" s="867">
        <f>SUBTOTAL(9,AK9:AK12)</f>
        <v>0</v>
      </c>
      <c r="AL13" s="871">
        <f>IF(ISNUMBER(NºAsuntos!G13/NºAsuntos!E13),NºAsuntos!G13/NºAsuntos!E13," - ")</f>
        <v>1.0918196994991654</v>
      </c>
      <c r="AM13" s="871">
        <f>IF(ISNUMBER(((NºAsuntos!I13/NºAsuntos!G13)*11)/factor_trimestre),((NºAsuntos!I13/NºAsuntos!G13)*11)/factor_trimestre," - ")</f>
        <v>10.401376146788992</v>
      </c>
      <c r="AN13" s="872">
        <f>IF(ISNUMBER('Resol  Asuntos'!D13/NºAsuntos!G13),'Resol  Asuntos'!D13/NºAsuntos!G13," - ")</f>
        <v>0.25267584097859325</v>
      </c>
      <c r="AO13" s="873">
        <f>IF(ISNUMBER((NºAsuntos!C13+NºAsuntos!E13)/NºAsuntos!G13),(NºAsuntos!C13+NºAsuntos!E13)/NºAsuntos!G13," - ")</f>
        <v>4.4701834862385317</v>
      </c>
      <c r="AP13" s="874" t="str">
        <f t="shared" si="2"/>
        <v xml:space="preserve"> - </v>
      </c>
      <c r="AQ13" s="874">
        <f>IF(ISNUMBER((H13-W13+K13)/(F13)),(H13-W13+K13)/(F13)," - ")</f>
        <v>-0.312</v>
      </c>
      <c r="AR13" s="875">
        <f>IF(ISNUMBER((Datos!P13-Datos!Q13)/(Datos!R13-Datos!P13+Datos!Q13)),(Datos!P13-Datos!Q13)/(Datos!R13-Datos!P13+Datos!Q13)," - ")</f>
        <v>3.5072231139646873E-2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2699</v>
      </c>
      <c r="G15" s="332">
        <f>IF(ISNUMBER(IF(D_I="SI",Datos!I15,Datos!I15+Datos!AC15)),IF(D_I="SI",Datos!I15,Datos!I15+Datos!AC15)," - ")</f>
        <v>2658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1900</v>
      </c>
      <c r="X15" s="225">
        <f>IF(ISNUMBER(Datos!Q15),Datos!Q15," - ")</f>
        <v>25</v>
      </c>
      <c r="Y15" s="333">
        <f>SUM(W15)</f>
        <v>1900</v>
      </c>
      <c r="Z15" s="334" t="str">
        <f>IF(ISNUMBER(Datos!CC15),Datos!CC15," - ")</f>
        <v xml:space="preserve"> - </v>
      </c>
      <c r="AA15" s="331">
        <f>IF(ISNUMBER(IF(D_I="SI",Datos!L15,Datos!L15+Datos!AF15)),IF(D_I="SI",Datos!L15,Datos!L15+Datos!AF15)," - ")</f>
        <v>2965</v>
      </c>
      <c r="AB15" s="333">
        <f>IF(ISNUMBER(Datos!R15),Datos!R15," - ")</f>
        <v>425</v>
      </c>
      <c r="AC15" s="333">
        <f t="shared" ref="AC15:AC18" si="6">IF(ISNUMBER(AA15+AB15),AA15+AB15," - ")</f>
        <v>3390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339</v>
      </c>
      <c r="AJ15" s="230" t="str">
        <f>IF(ISNUMBER(Datos!BW15),Datos!BW15," - ")</f>
        <v xml:space="preserve"> - </v>
      </c>
      <c r="AK15" s="231" t="str">
        <f>IF(ISNUMBER(Datos!BX15),Datos!BX15," - ")</f>
        <v xml:space="preserve"> - </v>
      </c>
      <c r="AL15" s="242">
        <f>IF(ISNUMBER(NºAsuntos!G15/NºAsuntos!E15),NºAsuntos!G15/NºAsuntos!E15," - ")</f>
        <v>0.8771929824561403</v>
      </c>
      <c r="AM15" s="259">
        <f>IF(ISNUMBER(((NºAsuntos!I15/NºAsuntos!G15)*11)/factor_trimestre),((NºAsuntos!I15/NºAsuntos!G15)*11)/factor_trimestre," - ")</f>
        <v>4.6815789473684211</v>
      </c>
      <c r="AN15" s="243">
        <f>IF(ISNUMBER('Resol  Asuntos'!D15/NºAsuntos!G15),'Resol  Asuntos'!D15/NºAsuntos!G15," - ")</f>
        <v>0.17842105263157895</v>
      </c>
      <c r="AO15" s="244">
        <f>IF(ISNUMBER((NºAsuntos!C15+NºAsuntos!E15)/NºAsuntos!G15),(NºAsuntos!C15+NºAsuntos!E15)/NºAsuntos!G15," - ")</f>
        <v>2.5389473684210526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7</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279</v>
      </c>
      <c r="X18" s="225">
        <f>IF(ISNUMBER(Datos!Q18),Datos!Q18," - ")</f>
        <v>16</v>
      </c>
      <c r="Y18" s="333">
        <f t="shared" si="9"/>
        <v>295</v>
      </c>
      <c r="Z18" s="334" t="str">
        <f>IF(ISNUMBER(Datos!CC18),Datos!CC18," - ")</f>
        <v xml:space="preserve"> - </v>
      </c>
      <c r="AA18" s="331">
        <f>IF(ISNUMBER(Datos!L18),Datos!L18,"-")</f>
        <v>140</v>
      </c>
      <c r="AB18" s="333">
        <f>IF(ISNUMBER(Datos!R18),Datos!R18," - ")</f>
        <v>26</v>
      </c>
      <c r="AC18" s="333">
        <f t="shared" si="6"/>
        <v>166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48</v>
      </c>
      <c r="AJ18" s="230" t="str">
        <f>IF(ISNUMBER(Datos!BW18),Datos!BW18," - ")</f>
        <v xml:space="preserve"> - </v>
      </c>
      <c r="AK18" s="231" t="str">
        <f>IF(ISNUMBER(Datos!BX18),Datos!BX18," - ")</f>
        <v xml:space="preserve"> - </v>
      </c>
      <c r="AL18" s="242">
        <f>IF(ISNUMBER(NºAsuntos!G18/NºAsuntos!E18),NºAsuntos!G18/NºAsuntos!E18," - ")</f>
        <v>0.95221843003412965</v>
      </c>
      <c r="AM18" s="259">
        <f>IF(ISNUMBER(((NºAsuntos!I18/NºAsuntos!G18)*11)/factor_trimestre),((NºAsuntos!I18/NºAsuntos!G18)*11)/factor_trimestre," - ")</f>
        <v>1.5053763440860213</v>
      </c>
      <c r="AN18" s="243">
        <f>IF(ISNUMBER('Resol  Asuntos'!D18/NºAsuntos!G18),'Resol  Asuntos'!D18/NºAsuntos!G18," - ")</f>
        <v>0.17204301075268819</v>
      </c>
      <c r="AO18" s="244">
        <f>IF(ISNUMBER((NºAsuntos!C18+NºAsuntos!E18)/NºAsuntos!G18),(NºAsuntos!C18+NºAsuntos!E18)/NºAsuntos!G18," - ")</f>
        <v>1.5053763440860215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2699</v>
      </c>
      <c r="G19" s="863">
        <f>SUBTOTAL(9,G15:G18)</f>
        <v>2785</v>
      </c>
      <c r="H19" s="862">
        <f t="shared" ref="H19:O19" si="12">SUBTOTAL(9,H14:H18)</f>
        <v>0</v>
      </c>
      <c r="I19" s="864">
        <f t="shared" si="12"/>
        <v>0</v>
      </c>
      <c r="J19" s="864">
        <f t="shared" si="12"/>
        <v>0</v>
      </c>
      <c r="K19" s="864">
        <f t="shared" si="12"/>
        <v>0</v>
      </c>
      <c r="L19" s="864">
        <f t="shared" si="12"/>
        <v>67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2179</v>
      </c>
      <c r="X19" s="864">
        <f t="shared" si="13"/>
        <v>41</v>
      </c>
      <c r="Y19" s="865">
        <f t="shared" si="13"/>
        <v>2195</v>
      </c>
      <c r="Z19" s="865">
        <f t="shared" si="13"/>
        <v>0</v>
      </c>
      <c r="AA19" s="865">
        <f t="shared" si="13"/>
        <v>3105</v>
      </c>
      <c r="AB19" s="865">
        <f t="shared" si="13"/>
        <v>451</v>
      </c>
      <c r="AC19" s="865">
        <f t="shared" si="13"/>
        <v>3556</v>
      </c>
      <c r="AD19" s="865">
        <f t="shared" si="13"/>
        <v>0</v>
      </c>
      <c r="AE19" s="869">
        <f t="shared" si="13"/>
        <v>0</v>
      </c>
      <c r="AF19" s="862">
        <f t="shared" si="13"/>
        <v>0</v>
      </c>
      <c r="AG19" s="870">
        <f t="shared" si="13"/>
        <v>0</v>
      </c>
      <c r="AH19" s="867">
        <f t="shared" si="13"/>
        <v>0</v>
      </c>
      <c r="AI19" s="862">
        <f t="shared" si="13"/>
        <v>387</v>
      </c>
      <c r="AJ19" s="864">
        <f t="shared" si="13"/>
        <v>0</v>
      </c>
      <c r="AK19" s="867">
        <f t="shared" si="13"/>
        <v>0</v>
      </c>
      <c r="AL19" s="871">
        <f>IF(ISNUMBER(NºAsuntos!G19/NºAsuntos!E19),NºAsuntos!G19/NºAsuntos!E19," - ")</f>
        <v>0.88613257421716141</v>
      </c>
      <c r="AM19" s="871">
        <f>IF(ISNUMBER(((NºAsuntos!I19/NºAsuntos!G19)*11)/factor_trimestre),((NºAsuntos!I19/NºAsuntos!G19)*11)/factor_trimestre," - ")</f>
        <v>4.2748967416245991</v>
      </c>
      <c r="AN19" s="872">
        <f>IF(ISNUMBER('Resol  Asuntos'!D19/NºAsuntos!G19),'Resol  Asuntos'!D19/NºAsuntos!G19," - ")</f>
        <v>0.17760440569068381</v>
      </c>
      <c r="AO19" s="873">
        <f>IF(ISNUMBER((NºAsuntos!C19+NºAsuntos!E19)/NºAsuntos!G19),(NºAsuntos!C19+NºAsuntos!E19)/NºAsuntos!G19," - ")</f>
        <v>2.4066085360256997</v>
      </c>
      <c r="AP19" s="874" t="str">
        <f t="shared" si="2"/>
        <v xml:space="preserve"> - </v>
      </c>
      <c r="AQ19" s="874">
        <f>IF(ISNUMBER((H19-W19+K19)/(F19)),(H19-W19+K19)/(F19)," - ")</f>
        <v>-0.807336050389033</v>
      </c>
      <c r="AR19" s="875">
        <f>IF(ISNUMBER((Datos!P19-Datos!Q19)/(Datos!R19-Datos!P19+Datos!Q19)),(Datos!P19-Datos!Q19)/(Datos!R19-Datos!P19+Datos!Q19)," - ")</f>
        <v>6.1176470588235297E-2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11</v>
      </c>
      <c r="F20" s="817">
        <f t="shared" si="15"/>
        <v>2824</v>
      </c>
      <c r="G20" s="818">
        <f t="shared" si="15"/>
        <v>2910</v>
      </c>
      <c r="H20" s="817">
        <f t="shared" si="15"/>
        <v>0</v>
      </c>
      <c r="I20" s="819">
        <f t="shared" si="15"/>
        <v>0</v>
      </c>
      <c r="J20" s="819">
        <f t="shared" si="15"/>
        <v>0</v>
      </c>
      <c r="K20" s="878">
        <f t="shared" si="15"/>
        <v>0</v>
      </c>
      <c r="L20" s="819">
        <f t="shared" si="15"/>
        <v>907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2218</v>
      </c>
      <c r="X20" s="818">
        <f t="shared" si="16"/>
        <v>444</v>
      </c>
      <c r="Y20" s="825">
        <f t="shared" si="16"/>
        <v>2637</v>
      </c>
      <c r="Z20" s="825">
        <f t="shared" si="16"/>
        <v>0</v>
      </c>
      <c r="AA20" s="825">
        <f t="shared" si="16"/>
        <v>3215</v>
      </c>
      <c r="AB20" s="825">
        <f t="shared" si="16"/>
        <v>13348</v>
      </c>
      <c r="AC20" s="825">
        <f t="shared" si="16"/>
        <v>3741</v>
      </c>
      <c r="AD20" s="825">
        <f t="shared" si="16"/>
        <v>0</v>
      </c>
      <c r="AE20" s="827">
        <f t="shared" si="16"/>
        <v>0</v>
      </c>
      <c r="AF20" s="828">
        <f t="shared" si="16"/>
        <v>0</v>
      </c>
      <c r="AG20" s="829">
        <f t="shared" si="16"/>
        <v>0</v>
      </c>
      <c r="AH20" s="827">
        <f t="shared" si="16"/>
        <v>0</v>
      </c>
      <c r="AI20" s="817">
        <f t="shared" si="16"/>
        <v>1048</v>
      </c>
      <c r="AJ20" s="817">
        <f t="shared" si="16"/>
        <v>0</v>
      </c>
      <c r="AK20" s="827">
        <f t="shared" si="16"/>
        <v>0</v>
      </c>
      <c r="AL20" s="881">
        <f>IF(ISNUMBER(NºAsuntos!G20/NºAsuntos!E20),NºAsuntos!G20/NºAsuntos!E20," - ")</f>
        <v>0.9876416065911432</v>
      </c>
      <c r="AM20" s="882">
        <f>IF(ISNUMBER(((NºAsuntos!I20/NºAsuntos!G20)*11)/factor_trimestre),((NºAsuntos!I20/NºAsuntos!G20)*11)/factor_trimestre," - ")</f>
        <v>7.6173096976016685</v>
      </c>
      <c r="AN20" s="882">
        <f>IF(ISNUMBER('Resol  Asuntos'!D20/NºAsuntos!G20),'Resol  Asuntos'!D20/NºAsuntos!G20," - ")</f>
        <v>0.21856100104275286</v>
      </c>
      <c r="AO20" s="883">
        <f>IF(ISNUMBER((NºAsuntos!C20+NºAsuntos!E20)/NºAsuntos!G20),(NºAsuntos!C20+NºAsuntos!E20)/NºAsuntos!G20," - ")</f>
        <v>3.5324296141814391</v>
      </c>
      <c r="AP20" s="884" t="str">
        <f t="shared" si="2"/>
        <v xml:space="preserve"> - </v>
      </c>
      <c r="AQ20" s="885">
        <f>IF(OR(ISNUMBER(FIND("01",Criterios!A8,1)),ISNUMBER(FIND("02",Criterios!A8,1)),ISNUMBER(FIND("03",Criterios!A8,1)),ISNUMBER(FIND("04",Criterios!A8,1))),(I20-W20+K20)/(F20-K20),(H20-W20+K20)/(F20-K20))</f>
        <v>-0.78541076487252126</v>
      </c>
      <c r="AR20" s="886">
        <f>IF(ISNUMBER((Datos!P20-Datos!Q20)/(Datos!R20-Datos!P20+Datos!Q20)),(Datos!P20-Datos!Q20)/(Datos!R20-Datos!P20+Datos!Q20)," - ")</f>
        <v>3.5933255723709742E-2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2.485513584307633</v>
      </c>
      <c r="F22" s="251">
        <f>IF(ISNUMBER(STDEV(F8:F19)),STDEV(F8:F19),"-")</f>
        <v>1486.0995928940968</v>
      </c>
      <c r="G22" s="252">
        <f>IF(ISNUMBER(STDEV(G8:G19)),STDEV(G8:G19),"-")</f>
        <v>1422.5055360173471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1061.0495747136417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274.52990122510641</v>
      </c>
      <c r="AJ22" s="251">
        <f t="shared" si="20"/>
        <v>0</v>
      </c>
      <c r="AK22" s="253">
        <f t="shared" si="20"/>
        <v>0</v>
      </c>
      <c r="AL22" s="248">
        <f t="shared" si="20"/>
        <v>0.27999950726003392</v>
      </c>
      <c r="AM22" s="249">
        <f t="shared" si="20"/>
        <v>3.6777142131270626</v>
      </c>
      <c r="AN22" s="249">
        <f t="shared" si="20"/>
        <v>0.18145221302356704</v>
      </c>
      <c r="AO22" s="250">
        <f t="shared" si="20"/>
        <v>1.2308512371387819</v>
      </c>
      <c r="AP22" s="290" t="str">
        <f t="shared" si="20"/>
        <v>-</v>
      </c>
      <c r="AQ22" s="291">
        <f t="shared" si="20"/>
        <v>0.35025548019624653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RIdnc7LDghhL7teW8GtM6+zPnEWKaMs0HROlytDM2WgqWjZfmNWvfWvRNBV9nW57Jk3C9THFk/Hp6lG4bwJEbA==" saltValue="lNtxHeoKEdKN/+9+nxRU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TORREVIEJA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3.2467532467532464E-2</v>
      </c>
      <c r="I9" s="349">
        <f>IF(ISNUMBER((Tasas!C9-Datos!BE9)/Datos!BE9),(Tasas!C9-Datos!BE9)/Datos!BE9," - ")</f>
        <v>-8.8818662180840835E-2</v>
      </c>
      <c r="J9" s="348">
        <f>IF(ISNUMBER((Tasas!D9-Datos!BF9)/Datos!BF9),(Tasas!D9-Datos!BF9)/Datos!BF9," - ")</f>
        <v>-0.44026321794919943</v>
      </c>
      <c r="K9" s="350">
        <f>IF(ISNUMBER((Tasas!E9-Datos!BG9)/Datos!BG9),(Tasas!E9-Datos!BG9)/Datos!BG9," - ")</f>
        <v>-2.5295361333208203E-2</v>
      </c>
      <c r="M9" t="e">
        <f>IF(Monitorios="SI",Datos!CE9,0)</f>
        <v>#REF!</v>
      </c>
      <c r="N9" t="e">
        <f>IF(Monitorios="SI",Datos!CF9,0)</f>
        <v>#REF!</v>
      </c>
      <c r="O9" t="e">
        <f>IF(Monitorios="SI",Datos!CG9,0)</f>
        <v>#REF!</v>
      </c>
      <c r="P9" t="e">
        <f>IF(Monitorios="SI",Datos!CH9,0)</f>
        <v>#REF!</v>
      </c>
      <c r="Q9">
        <f>IF(J_V="SI",0,Datos!AG9)</f>
        <v>184</v>
      </c>
      <c r="R9">
        <f>IF(J_V="SI",0,Datos!AH9)</f>
        <v>138</v>
      </c>
      <c r="S9">
        <f>IF(J_V="SI",0,Datos!AI9)</f>
        <v>134</v>
      </c>
      <c r="T9">
        <f>IF(J_V="SI",0,Datos!AJ9)</f>
        <v>202</v>
      </c>
    </row>
    <row r="10" spans="2:20" ht="14.25">
      <c r="B10" s="274" t="s">
        <v>247</v>
      </c>
      <c r="C10" s="7" t="str">
        <f>Datos!A10</f>
        <v>Sección De Violencia sobre la Mujer del TI</v>
      </c>
      <c r="D10" s="351">
        <f>IF(ISNUMBER((Datos!I10-Datos!S10)/Datos!S10),(Datos!I10-Datos!S10)/Datos!S10," - ")</f>
        <v>-0.13194444444444445</v>
      </c>
      <c r="E10" s="347">
        <f>IF(ISNUMBER((Datos!J10-Datos!T10)/Datos!T10),(Datos!J10-Datos!T10)/Datos!T10," - ")</f>
        <v>-0.22580645161290322</v>
      </c>
      <c r="F10" s="347">
        <f>IF(ISNUMBER((Datos!K10-Datos!U10)/Datos!U10),(Datos!K10-Datos!U10)/Datos!U10," - ")</f>
        <v>0.56000000000000005</v>
      </c>
      <c r="G10" s="348">
        <f>IF(ISNUMBER((Datos!L10-Datos!V10)/Datos!V10),(Datos!L10-Datos!V10)/Datos!V10," - ")</f>
        <v>-0.26666666666666666</v>
      </c>
      <c r="H10" s="229">
        <f>IF(ISNUMBER((Datos!M10-Datos!W10)/Datos!W10),(Datos!M10-Datos!W10)/Datos!W10," - ")</f>
        <v>0.19047619047619047</v>
      </c>
      <c r="I10" s="349">
        <f>IF(ISNUMBER((Tasas!C10-Datos!BE10)/Datos!BE10),(Tasas!C10-Datos!BE10)/Datos!BE10," - ")</f>
        <v>-0.52991452991452992</v>
      </c>
      <c r="J10" s="348">
        <f>IF(ISNUMBER((Tasas!D10-Datos!BF10)/Datos!BF10),(Tasas!D10-Datos!BF10)/Datos!BF10," - ")</f>
        <v>-0.23687423687423678</v>
      </c>
      <c r="K10" s="350">
        <f>IF(ISNUMBER((Tasas!E10-Datos!BG10)/Datos!BG10),(Tasas!E10-Datos!BG10)/Datos!BG10," - ")</f>
        <v>-0.45421245421245421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3.7676609105180531E-2</v>
      </c>
      <c r="I13" s="356">
        <f>IF(ISNUMBER((Tasas!C13-Datos!BE13)/Datos!BE13),(Tasas!C13-Datos!BE13)/Datos!BE13," - ")</f>
        <v>-9.6058048363166573E-2</v>
      </c>
      <c r="J13" s="354">
        <f>IF(ISNUMBER((Tasas!D13-Datos!BF13)/Datos!BF13),(Tasas!D13-Datos!BF13)/Datos!BF13," - ")</f>
        <v>-0.43158207155466055</v>
      </c>
      <c r="K13" s="357">
        <f>IF(ISNUMBER((Tasas!E13-Datos!BG13)/Datos!BG13),(Tasas!E13-Datos!BG13)/Datos!BG13," - ")</f>
        <v>-3.2008318483172891E-2</v>
      </c>
      <c r="M13" t="e">
        <f>IF(Monitorios="SI",Datos!CE13,0)</f>
        <v>#REF!</v>
      </c>
      <c r="N13" t="e">
        <f>IF(Monitorios="SI",Datos!CF13,0)</f>
        <v>#REF!</v>
      </c>
      <c r="O13" t="e">
        <f>IF(Monitorios="SI",Datos!CG13,0)</f>
        <v>#REF!</v>
      </c>
      <c r="P13" t="e">
        <f>IF(Monitorios="SI",Datos!CH13,0)</f>
        <v>#REF!</v>
      </c>
      <c r="Q13">
        <f>IF(J_V="SI",0,Datos!AG13)</f>
        <v>184</v>
      </c>
      <c r="R13">
        <f>IF(J_V="SI",0,Datos!AH13)</f>
        <v>138</v>
      </c>
      <c r="S13">
        <f>IF(J_V="SI",0,Datos!AI13)</f>
        <v>134</v>
      </c>
      <c r="T13">
        <f>IF(J_V="SI",0,Datos!AJ13)</f>
        <v>202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0.31845238095238093</v>
      </c>
      <c r="E15" s="347">
        <f>IF(ISNUMBER(
   IF(D_I="SI",(Datos!J15-Datos!T15)/Datos!T15,(Datos!J15+Datos!AD15-(Datos!T15+Datos!AL15))/(Datos!T15+Datos!AL15))
     ),IF(D_I="SI",(Datos!J15-Datos!T15)/Datos!T15,(Datos!J15+Datos!AD15-(Datos!T15+Datos!AL15))/(Datos!T15+Datos!AL15))," - ")</f>
        <v>-0.13739545997610514</v>
      </c>
      <c r="F15" s="347">
        <f>IF(ISNUMBER(
   IF(D_I="SI",(Datos!K15-Datos!U15)/Datos!U15,(Datos!K15+Datos!AE15-(Datos!U15+Datos!AM15))/(Datos!U15+Datos!AM15))
     ),IF(D_I="SI",(Datos!K15-Datos!U15)/Datos!U15,(Datos!K15+Datos!AE15-(Datos!U15+Datos!AM15))/(Datos!U15+Datos!AM15))," - ")</f>
        <v>-0.16849015317286653</v>
      </c>
      <c r="G15" s="348">
        <f>IF(ISNUMBER(
   IF(D_I="SI",(Datos!L15-Datos!V15)/Datos!V15,(Datos!L15+Datos!AF15-(Datos!V15+Datos!AN15))/(Datos!V15+Datos!AN15))
     ),IF(D_I="SI",(Datos!L15-Datos!V15)/Datos!V15,(Datos!L15+Datos!AF15-(Datos!V15+Datos!AN15))/(Datos!V15+Datos!AN15))," - ")</f>
        <v>0.27089584226318048</v>
      </c>
      <c r="H15" s="229">
        <f>IF(ISNUMBER((Datos!M15-Datos!W15)/Datos!W15),(Datos!M15-Datos!W15)/Datos!W15," - ")</f>
        <v>-0.12176165803108809</v>
      </c>
      <c r="I15" s="349">
        <f>IF(ISNUMBER((Tasas!C15-Datos!BE15)/Datos!BE15),(Tasas!C15-Datos!BE15)/Datos!BE15," - ")</f>
        <v>0.5284194734586144</v>
      </c>
      <c r="J15" s="348">
        <f>IF(ISNUMBER((Tasas!D15-Datos!BF15)/Datos!BF15),(Tasas!D15-Datos!BF15)/Datos!BF15," - ")</f>
        <v>5.6197163894191521E-2</v>
      </c>
      <c r="K15" s="350">
        <f>IF(ISNUMBER((Tasas!E15-Datos!BG15)/Datos!BG15),(Tasas!E15-Datos!BG15)/Datos!BG15," - ")</f>
        <v>0.28153186146280218</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-0.15894039735099338</v>
      </c>
      <c r="E18" s="347">
        <f>IF(ISNUMBER(
   IF(D_I="SI",(Datos!J18-Datos!T18)/Datos!T18,(Datos!J18+Datos!AD18-(Datos!T18+Datos!AL18))/(Datos!T18+Datos!AL18))
     ),IF(D_I="SI",(Datos!J18-Datos!T18)/Datos!T18,(Datos!J18+Datos!AD18-(Datos!T18+Datos!AL18))/(Datos!T18+Datos!AL18))," - ")</f>
        <v>0.46500000000000002</v>
      </c>
      <c r="F18" s="347">
        <f>IF(ISNUMBER(
   IF(D_I="SI",(Datos!K18-Datos!U18)/Datos!U18,(Datos!K18+Datos!AE18-(Datos!U18+Datos!AM18))/(Datos!U18+Datos!AM18))
     ),IF(D_I="SI",(Datos!K18-Datos!U18)/Datos!U18,(Datos!K18+Datos!AE18-(Datos!U18+Datos!AM18))/(Datos!U18+Datos!AM18))," - ")</f>
        <v>-4.1237113402061855E-2</v>
      </c>
      <c r="G18" s="348">
        <f>IF(ISNUMBER(
   IF(D_I="SI",(Datos!L18-Datos!V18)/Datos!V18,(Datos!L18+Datos!AF18-(Datos!V18+Datos!AN18))/(Datos!V18+Datos!AN18))
     ),IF(D_I="SI",(Datos!L18-Datos!V18)/Datos!V18,(Datos!L18+Datos!AF18-(Datos!V18+Datos!AN18))/(Datos!V18+Datos!AN18))," - ")</f>
        <v>1.3333333333333333</v>
      </c>
      <c r="H18" s="229">
        <f>IF(ISNUMBER((Datos!M18-Datos!W18)/Datos!W18),(Datos!M18-Datos!W18)/Datos!W18," - ")</f>
        <v>-0.40740740740740738</v>
      </c>
      <c r="I18" s="349">
        <f>IF(ISNUMBER((Tasas!C18-Datos!BE18)/Datos!BE18),(Tasas!C18-Datos!BE18)/Datos!BE18," - ")</f>
        <v>1.4336917562724014</v>
      </c>
      <c r="J18" s="348">
        <f>IF(ISNUMBER((Tasas!D18-Datos!BF18)/Datos!BF18),(Tasas!D18-Datos!BF18)/Datos!BF18," - ")</f>
        <v>-0.38191955396256466</v>
      </c>
      <c r="K18" s="350">
        <f>IF(ISNUMBER((Tasas!E18-Datos!BG18)/Datos!BG18),(Tasas!E18-Datos!BG18)/Datos!BG18," - ")</f>
        <v>0.24804705449866746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0.28518689432395017</v>
      </c>
      <c r="E19" s="353">
        <f>IF(ISNUMBER(
   IF(D_I="SI",(Datos!J19-Datos!T19)/Datos!T19,(Datos!J19+Datos!AD19-(Datos!T19+Datos!AL19))/(Datos!T19+Datos!AL19))
     ),IF(D_I="SI",(Datos!J19-Datos!T19)/Datos!T19,(Datos!J19+Datos!AD19-(Datos!T19+Datos!AL19))/(Datos!T19+Datos!AL19))," - ")</f>
        <v>-9.295462928808558E-2</v>
      </c>
      <c r="F19" s="353">
        <f>IF(ISNUMBER(
   IF(D_I="SI",(Datos!K19-Datos!U19)/Datos!U19,(Datos!K19+Datos!AE19-(Datos!U19+Datos!AM19))/(Datos!U19+Datos!AM19))
     ),IF(D_I="SI",(Datos!K19-Datos!U19)/Datos!U19,(Datos!K19+Datos!AE19-(Datos!U19+Datos!AM19))/(Datos!U19+Datos!AM19))," - ")</f>
        <v>-0.15411490683229814</v>
      </c>
      <c r="G19" s="354">
        <f>IF(ISNUMBER(
   IF(D_I="SI",(Datos!L19-Datos!V19)/Datos!V19,(Datos!L19+Datos!AF19-(Datos!V19+Datos!AN19))/(Datos!V19+Datos!AN19))
     ),IF(D_I="SI",(Datos!L19-Datos!V19)/Datos!V19,(Datos!L19+Datos!AF19-(Datos!V19+Datos!AN19))/(Datos!V19+Datos!AN19))," - ")</f>
        <v>0.29753447555369827</v>
      </c>
      <c r="H19" s="355">
        <f>IF(ISNUMBER((Datos!M19-Datos!W19)/Datos!W19),(Datos!M19-Datos!W19)/Datos!W19," - ")</f>
        <v>-0.17130620985010706</v>
      </c>
      <c r="I19" s="356">
        <f>IF(ISNUMBER((Tasas!C19-Datos!BE19)/Datos!BE19),(Tasas!C19-Datos!BE19)/Datos!BE19," - ")</f>
        <v>0.53393703947972782</v>
      </c>
      <c r="J19" s="354">
        <f>IF(ISNUMBER((Tasas!D19-Datos!BF19)/Datos!BF19),(Tasas!D19-Datos!BF19)/Datos!BF19," - ")</f>
        <v>-2.0323449552031005E-2</v>
      </c>
      <c r="K19" s="357">
        <f>IF(ISNUMBER((Tasas!E19-Datos!BG19)/Datos!BG19),(Tasas!E19-Datos!BG19)/Datos!BG19," - ")</f>
        <v>0.27089454464989804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0.13818764129615674</v>
      </c>
      <c r="E20" s="362">
        <f>IF(ISNUMBER(
   IF(J_V="SI",(Datos!J20-Datos!T20)/Datos!T20,(Datos!J20+Datos!Z20-(Datos!T20+Datos!AH20))/(Datos!T20+Datos!AH20))
     ),IF(J_V="SI",(Datos!J20-Datos!T20)/Datos!T20,(Datos!J20+Datos!Z20-(Datos!T20+Datos!AH20))/(Datos!T20+Datos!AH20))," - ")</f>
        <v>-0.31036931818181818</v>
      </c>
      <c r="F20" s="362">
        <f>IF(ISNUMBER(
   IF(J_V="SI",(Datos!K20-Datos!U20)/Datos!U20,(Datos!K20+Datos!AA20-(Datos!U20+Datos!AI20))/(Datos!U20+Datos!AI20))
     ),IF(J_V="SI",(Datos!K20-Datos!U20)/Datos!U20,(Datos!K20+Datos!AA20-(Datos!U20+Datos!AI20))/(Datos!U20+Datos!AI20))," - ")</f>
        <v>-0.10256410256410256</v>
      </c>
      <c r="G20" s="363">
        <f>IF(ISNUMBER(
   IF(J_V="SI",(Datos!L20-Datos!V20)/Datos!V20,(Datos!L20+Datos!AB20-(Datos!V20+Datos!AJ20))/(Datos!V20+Datos!AJ20))
     ),IF(J_V="SI",(Datos!L20-Datos!V20)/Datos!V20,(Datos!L20+Datos!AB20-(Datos!V20+Datos!AJ20))/(Datos!V20+Datos!AJ20))," - ")</f>
        <v>-6.3893587574965396E-2</v>
      </c>
      <c r="H20" s="364">
        <f>IF(ISNUMBER((Datos!M20-Datos!W20)/Datos!W20),(Datos!M20-Datos!W20)/Datos!W20," - ")</f>
        <v>-5.0724637681159424E-2</v>
      </c>
      <c r="I20" s="361">
        <f>IF(ISNUMBER((Tasas!C20-Datos!BE20)/Datos!BE20),(Tasas!C20-Datos!BE20)/Datos!BE20," - ")</f>
        <v>4.3090002416467044E-2</v>
      </c>
      <c r="J20" s="362">
        <f>IF(ISNUMBER((Tasas!D20-Datos!BF20)/Datos!BF20),(Tasas!D20-Datos!BF20)/Datos!BF20," - ")</f>
        <v>-0.31186126778348344</v>
      </c>
      <c r="K20" s="363">
        <f>IF(ISNUMBER((Tasas!E20-Datos!BG20)/Datos!BG20),(Tasas!E20-Datos!BG20)/Datos!BG20," - ")</f>
        <v>6.8972101754158813E-2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0.25881849241166183</v>
      </c>
      <c r="E22" s="277">
        <f t="shared" si="1"/>
        <v>0.31342839555780877</v>
      </c>
      <c r="F22" s="277">
        <f t="shared" si="1"/>
        <v>0.34536037338432368</v>
      </c>
      <c r="G22" s="278">
        <f t="shared" si="1"/>
        <v>0.66893314893208511</v>
      </c>
      <c r="H22" s="284">
        <f t="shared" si="1"/>
        <v>0.20816434180933299</v>
      </c>
      <c r="I22" s="276">
        <f t="shared" si="1"/>
        <v>0.6912163915017806</v>
      </c>
      <c r="J22" s="277">
        <f t="shared" si="1"/>
        <v>0.21583057591859656</v>
      </c>
      <c r="K22" s="278">
        <f t="shared" si="1"/>
        <v>0.28573717637242402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CzJQ9Ekdzf73cBmx4gKkpWLCgxGlqP6mAzDbvkwrC4idmjiWWkpmotbKmDXqblRGkAR/z/wNjUB+967EaafmA==" saltValue="7Zl/nGQM6XMbJthz7PyAI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